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X:\Licitacao\LICITAÇÕES 2023\CONCORRÊNCIA\23 Concorrência 01.2023 (Obra de reforma do 3º, 4º e 5º pav., pintura e adequação da cobertura\"/>
    </mc:Choice>
  </mc:AlternateContent>
  <xr:revisionPtr revIDLastSave="0" documentId="13_ncr:1_{85FEC7BE-B0FD-49A5-A509-B774D65E9091}" xr6:coauthVersionLast="47" xr6:coauthVersionMax="47" xr10:uidLastSave="{00000000-0000-0000-0000-000000000000}"/>
  <bookViews>
    <workbookView xWindow="-120" yWindow="-120" windowWidth="29040" windowHeight="15720" tabRatio="832" activeTab="3" xr2:uid="{A0CB0121-BA88-4E23-BEAA-38F5F96E3EBE}"/>
  </bookViews>
  <sheets>
    <sheet name="PLANILHA ORÇAMENTARIA" sheetId="2" r:id="rId1"/>
    <sheet name="CRONOGRAMA FISICO FINANCEIRO" sheetId="13" r:id="rId2"/>
    <sheet name="COMPOSIÇAO DO BDI" sheetId="11" r:id="rId3"/>
    <sheet name="ENCARGOS SOCIAIS" sheetId="15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00" i="13" l="1"/>
  <c r="J100" i="13"/>
  <c r="J99" i="13"/>
  <c r="K99" i="13" s="1"/>
  <c r="I97" i="13"/>
  <c r="K81" i="13"/>
  <c r="F80" i="2"/>
  <c r="D98" i="13"/>
  <c r="E98" i="13" s="1"/>
  <c r="F98" i="13" s="1"/>
  <c r="G98" i="13" s="1"/>
  <c r="H98" i="13" s="1"/>
  <c r="I98" i="13" s="1"/>
  <c r="F83" i="2"/>
  <c r="B90" i="13"/>
  <c r="B89" i="13"/>
  <c r="B93" i="13"/>
  <c r="B94" i="13"/>
  <c r="B95" i="13"/>
  <c r="B96" i="13"/>
  <c r="B97" i="13"/>
  <c r="B98" i="13"/>
  <c r="B99" i="13"/>
  <c r="B100" i="13"/>
  <c r="B92" i="13"/>
  <c r="B88" i="13"/>
  <c r="B87" i="13"/>
  <c r="B84" i="13"/>
  <c r="B85" i="13"/>
  <c r="B86" i="13"/>
  <c r="B83" i="13"/>
  <c r="B82" i="13"/>
  <c r="B81" i="13"/>
  <c r="B80" i="13"/>
  <c r="B79" i="13"/>
  <c r="B71" i="13"/>
  <c r="B72" i="13"/>
  <c r="B73" i="13"/>
  <c r="B74" i="13"/>
  <c r="B75" i="13"/>
  <c r="B76" i="13"/>
  <c r="B77" i="13"/>
  <c r="B78" i="13"/>
  <c r="B70" i="13"/>
  <c r="B69" i="13"/>
  <c r="B62" i="13"/>
  <c r="B63" i="13"/>
  <c r="B64" i="13"/>
  <c r="B65" i="13"/>
  <c r="B66" i="13"/>
  <c r="B67" i="13"/>
  <c r="B68" i="13"/>
  <c r="B61" i="13"/>
  <c r="B60" i="13"/>
  <c r="B59" i="13"/>
  <c r="B58" i="13"/>
  <c r="B57" i="13"/>
  <c r="B56" i="13"/>
  <c r="B55" i="13"/>
  <c r="B53" i="13"/>
  <c r="B54" i="13"/>
  <c r="B47" i="13"/>
  <c r="B48" i="13"/>
  <c r="B49" i="13"/>
  <c r="B50" i="13"/>
  <c r="B51" i="13"/>
  <c r="B52" i="13"/>
  <c r="B46" i="13"/>
  <c r="B45" i="13"/>
  <c r="B33" i="13"/>
  <c r="B34" i="13"/>
  <c r="B35" i="13"/>
  <c r="B36" i="13"/>
  <c r="B37" i="13"/>
  <c r="B38" i="13"/>
  <c r="B39" i="13"/>
  <c r="B40" i="13"/>
  <c r="B41" i="13"/>
  <c r="B42" i="13"/>
  <c r="B43" i="13"/>
  <c r="B44" i="13"/>
  <c r="B32" i="13"/>
  <c r="B31" i="13"/>
  <c r="B9" i="13"/>
  <c r="B10" i="13"/>
  <c r="B11" i="13"/>
  <c r="B12" i="13"/>
  <c r="B13" i="13"/>
  <c r="B14" i="13"/>
  <c r="B15" i="13"/>
  <c r="B16" i="13"/>
  <c r="B17" i="13"/>
  <c r="B18" i="13"/>
  <c r="B19" i="13"/>
  <c r="B20" i="13"/>
  <c r="B21" i="13"/>
  <c r="B22" i="13"/>
  <c r="B23" i="13"/>
  <c r="B24" i="13"/>
  <c r="B25" i="13"/>
  <c r="B26" i="13"/>
  <c r="B27" i="13"/>
  <c r="B28" i="13"/>
  <c r="B29" i="13"/>
  <c r="B30" i="13"/>
  <c r="B8" i="13"/>
  <c r="B7" i="13"/>
  <c r="F24" i="2"/>
  <c r="F27" i="2"/>
  <c r="F26" i="2"/>
  <c r="F25" i="2"/>
  <c r="F73" i="2"/>
  <c r="F86" i="2"/>
  <c r="F54" i="2"/>
  <c r="H47" i="2"/>
  <c r="I47" i="2"/>
  <c r="J47" i="2" s="1"/>
  <c r="I47" i="13" s="1"/>
  <c r="H48" i="2"/>
  <c r="I48" i="2"/>
  <c r="J48" i="2" s="1"/>
  <c r="I48" i="13" s="1"/>
  <c r="H49" i="2"/>
  <c r="I49" i="2"/>
  <c r="J49" i="2" s="1"/>
  <c r="I49" i="13" s="1"/>
  <c r="H50" i="2"/>
  <c r="I50" i="2"/>
  <c r="J50" i="2" s="1"/>
  <c r="I50" i="13" s="1"/>
  <c r="H14" i="2"/>
  <c r="H15" i="2"/>
  <c r="H16" i="2"/>
  <c r="I16" i="2"/>
  <c r="J16" i="2" s="1"/>
  <c r="E16" i="13" s="1"/>
  <c r="I15" i="2"/>
  <c r="J15" i="2" s="1"/>
  <c r="E15" i="13" s="1"/>
  <c r="I14" i="2"/>
  <c r="J14" i="2" s="1"/>
  <c r="E14" i="13" s="1"/>
  <c r="F64" i="2"/>
  <c r="F65" i="2"/>
  <c r="F66" i="2"/>
  <c r="F63" i="2"/>
  <c r="F61" i="2"/>
  <c r="H68" i="2"/>
  <c r="I68" i="2"/>
  <c r="J68" i="2" s="1"/>
  <c r="F68" i="13" s="1"/>
  <c r="F29" i="2" l="1"/>
  <c r="H29" i="2" s="1"/>
  <c r="H30" i="2"/>
  <c r="I30" i="2"/>
  <c r="J30" i="2" s="1"/>
  <c r="D30" i="13" s="1"/>
  <c r="I29" i="2"/>
  <c r="J29" i="2" l="1"/>
  <c r="D29" i="13" s="1"/>
  <c r="I86" i="2"/>
  <c r="J86" i="2" s="1"/>
  <c r="D86" i="13" s="1"/>
  <c r="E86" i="13" s="1"/>
  <c r="F93" i="2"/>
  <c r="H86" i="2" l="1"/>
  <c r="F101" i="2"/>
  <c r="F100" i="2"/>
  <c r="F99" i="2" l="1"/>
  <c r="F98" i="2"/>
  <c r="H97" i="2" l="1"/>
  <c r="I97" i="2"/>
  <c r="J97" i="2" s="1"/>
  <c r="E96" i="13" s="1"/>
  <c r="H95" i="2"/>
  <c r="I95" i="2"/>
  <c r="J95" i="2" s="1"/>
  <c r="D94" i="13" s="1"/>
  <c r="F94" i="13" s="1"/>
  <c r="H94" i="13" s="1"/>
  <c r="I94" i="13" s="1"/>
  <c r="J94" i="13" s="1"/>
  <c r="K94" i="13" s="1"/>
  <c r="H84" i="2"/>
  <c r="I84" i="2"/>
  <c r="J84" i="2" s="1"/>
  <c r="H43" i="2"/>
  <c r="I43" i="2"/>
  <c r="J43" i="2" s="1"/>
  <c r="E43" i="13" s="1"/>
  <c r="H24" i="2"/>
  <c r="I24" i="2"/>
  <c r="J24" i="2" s="1"/>
  <c r="C24" i="13" s="1"/>
  <c r="I90" i="2"/>
  <c r="J90" i="2" s="1"/>
  <c r="C90" i="13" s="1"/>
  <c r="H90" i="2"/>
  <c r="I67" i="2"/>
  <c r="J67" i="2" s="1"/>
  <c r="F67" i="13" s="1"/>
  <c r="H67" i="2"/>
  <c r="I64" i="2"/>
  <c r="J64" i="2" s="1"/>
  <c r="F64" i="13" s="1"/>
  <c r="H64" i="2"/>
  <c r="I65" i="2"/>
  <c r="J65" i="2" s="1"/>
  <c r="F65" i="13" s="1"/>
  <c r="H65" i="2"/>
  <c r="I88" i="2"/>
  <c r="J88" i="2" s="1"/>
  <c r="C88" i="13" s="1"/>
  <c r="I62" i="2"/>
  <c r="J62" i="2" s="1"/>
  <c r="F62" i="13" s="1"/>
  <c r="H62" i="2"/>
  <c r="I63" i="2"/>
  <c r="J63" i="2" s="1"/>
  <c r="F63" i="13" s="1"/>
  <c r="H63" i="2"/>
  <c r="I61" i="2"/>
  <c r="J61" i="2" s="1"/>
  <c r="F61" i="13" s="1"/>
  <c r="H61" i="2"/>
  <c r="H83" i="2"/>
  <c r="I85" i="2"/>
  <c r="J85" i="2" s="1"/>
  <c r="F85" i="13" s="1"/>
  <c r="K85" i="13" s="1"/>
  <c r="H85" i="2"/>
  <c r="H80" i="2"/>
  <c r="I80" i="2"/>
  <c r="I77" i="2"/>
  <c r="J77" i="2" s="1"/>
  <c r="J77" i="13" s="1"/>
  <c r="H77" i="2"/>
  <c r="I74" i="2"/>
  <c r="J74" i="2" s="1"/>
  <c r="F74" i="13" s="1"/>
  <c r="H74" i="2"/>
  <c r="I75" i="2"/>
  <c r="J75" i="2" s="1"/>
  <c r="H75" i="13" s="1"/>
  <c r="H75" i="2"/>
  <c r="I73" i="2"/>
  <c r="J73" i="2" s="1"/>
  <c r="F73" i="13" s="1"/>
  <c r="H73" i="2"/>
  <c r="I72" i="2"/>
  <c r="J72" i="2" s="1"/>
  <c r="F72" i="13" s="1"/>
  <c r="H72" i="2"/>
  <c r="I71" i="2"/>
  <c r="J71" i="2" s="1"/>
  <c r="F71" i="13" s="1"/>
  <c r="H71" i="2"/>
  <c r="I70" i="2"/>
  <c r="J70" i="2" s="1"/>
  <c r="F70" i="13" s="1"/>
  <c r="H70" i="2"/>
  <c r="I78" i="2"/>
  <c r="J78" i="2" s="1"/>
  <c r="J78" i="13" s="1"/>
  <c r="K78" i="13" s="1"/>
  <c r="H78" i="2"/>
  <c r="I58" i="2"/>
  <c r="J58" i="2" s="1"/>
  <c r="C58" i="13" s="1"/>
  <c r="H58" i="2"/>
  <c r="F53" i="2"/>
  <c r="H53" i="2" s="1"/>
  <c r="F46" i="2"/>
  <c r="H46" i="2" s="1"/>
  <c r="I76" i="2"/>
  <c r="J76" i="2" s="1"/>
  <c r="F76" i="13" s="1"/>
  <c r="H76" i="2"/>
  <c r="I66" i="2"/>
  <c r="J66" i="2" s="1"/>
  <c r="F66" i="13" s="1"/>
  <c r="H66" i="2"/>
  <c r="H51" i="2"/>
  <c r="I51" i="2"/>
  <c r="J51" i="2" s="1"/>
  <c r="I51" i="13" s="1"/>
  <c r="H52" i="2"/>
  <c r="I52" i="2"/>
  <c r="J52" i="2" s="1"/>
  <c r="J52" i="13" s="1"/>
  <c r="K52" i="13" s="1"/>
  <c r="I53" i="2"/>
  <c r="H54" i="2"/>
  <c r="I54" i="2"/>
  <c r="J54" i="2" s="1"/>
  <c r="I54" i="13" s="1"/>
  <c r="I46" i="2"/>
  <c r="F22" i="2"/>
  <c r="H22" i="2" s="1"/>
  <c r="H23" i="2"/>
  <c r="I23" i="2"/>
  <c r="J23" i="2" s="1"/>
  <c r="E23" i="13" s="1"/>
  <c r="I83" i="2"/>
  <c r="H40" i="2"/>
  <c r="H39" i="2"/>
  <c r="I39" i="2"/>
  <c r="J39" i="2" s="1"/>
  <c r="F39" i="13" s="1"/>
  <c r="G39" i="13" s="1"/>
  <c r="I40" i="2"/>
  <c r="H36" i="2"/>
  <c r="I36" i="2"/>
  <c r="J36" i="2" s="1"/>
  <c r="C36" i="13" s="1"/>
  <c r="I35" i="2"/>
  <c r="F34" i="2"/>
  <c r="F33" i="2"/>
  <c r="H33" i="2" s="1"/>
  <c r="F32" i="2"/>
  <c r="H26" i="2"/>
  <c r="H25" i="2"/>
  <c r="H27" i="2"/>
  <c r="I25" i="2"/>
  <c r="I26" i="2"/>
  <c r="H28" i="2"/>
  <c r="I28" i="2"/>
  <c r="J28" i="2" s="1"/>
  <c r="E28" i="13" s="1"/>
  <c r="I22" i="2"/>
  <c r="H21" i="2"/>
  <c r="I21" i="2"/>
  <c r="J21" i="2" s="1"/>
  <c r="D21" i="13" s="1"/>
  <c r="H59" i="2"/>
  <c r="I59" i="2"/>
  <c r="J59" i="2" s="1"/>
  <c r="G59" i="13" s="1"/>
  <c r="I33" i="2"/>
  <c r="F10" i="2"/>
  <c r="F84" i="13" l="1"/>
  <c r="H84" i="13" s="1"/>
  <c r="I84" i="13" s="1"/>
  <c r="J84" i="13" s="1"/>
  <c r="K84" i="13" s="1"/>
  <c r="J83" i="2"/>
  <c r="H88" i="2"/>
  <c r="J80" i="2"/>
  <c r="J53" i="2"/>
  <c r="I53" i="13" s="1"/>
  <c r="J46" i="2"/>
  <c r="H46" i="13" s="1"/>
  <c r="J22" i="2"/>
  <c r="D22" i="13" s="1"/>
  <c r="J40" i="2"/>
  <c r="C40" i="13" s="1"/>
  <c r="J33" i="2"/>
  <c r="C33" i="13" s="1"/>
  <c r="J35" i="2"/>
  <c r="C35" i="13" s="1"/>
  <c r="H35" i="2"/>
  <c r="J25" i="2"/>
  <c r="C25" i="13" s="1"/>
  <c r="J26" i="2"/>
  <c r="D26" i="13" s="1"/>
  <c r="I27" i="2"/>
  <c r="J27" i="2" s="1"/>
  <c r="E27" i="13" s="1"/>
  <c r="H101" i="2"/>
  <c r="H96" i="2"/>
  <c r="I96" i="2"/>
  <c r="I101" i="2"/>
  <c r="H83" i="13" l="1"/>
  <c r="I83" i="13" s="1"/>
  <c r="J83" i="13" s="1"/>
  <c r="K83" i="13" s="1"/>
  <c r="F83" i="13"/>
  <c r="C80" i="13"/>
  <c r="J96" i="2"/>
  <c r="E95" i="13" s="1"/>
  <c r="J101" i="2"/>
  <c r="I44" i="2"/>
  <c r="J44" i="2" s="1"/>
  <c r="E44" i="13" s="1"/>
  <c r="H44" i="2"/>
  <c r="I41" i="2"/>
  <c r="J41" i="2" s="1"/>
  <c r="F41" i="13" s="1"/>
  <c r="H41" i="2"/>
  <c r="I42" i="2"/>
  <c r="J42" i="2" s="1"/>
  <c r="C42" i="13" s="1"/>
  <c r="H42" i="2"/>
  <c r="I56" i="2"/>
  <c r="J56" i="2" s="1"/>
  <c r="C56" i="13" s="1"/>
  <c r="H56" i="2"/>
  <c r="I38" i="2"/>
  <c r="J38" i="2" s="1"/>
  <c r="D38" i="13" s="1"/>
  <c r="E38" i="13" s="1"/>
  <c r="H38" i="2"/>
  <c r="I34" i="2"/>
  <c r="J34" i="2" s="1"/>
  <c r="C34" i="13" s="1"/>
  <c r="I37" i="2"/>
  <c r="J37" i="2" s="1"/>
  <c r="D37" i="13" s="1"/>
  <c r="H34" i="2"/>
  <c r="H37" i="2"/>
  <c r="I32" i="2"/>
  <c r="J32" i="2" s="1"/>
  <c r="C32" i="13" s="1"/>
  <c r="I20" i="2"/>
  <c r="J20" i="2" s="1"/>
  <c r="E20" i="13" s="1"/>
  <c r="I19" i="2"/>
  <c r="J19" i="2" s="1"/>
  <c r="E19" i="13" s="1"/>
  <c r="H11" i="2"/>
  <c r="I11" i="2"/>
  <c r="J11" i="2" s="1"/>
  <c r="D11" i="13" s="1"/>
  <c r="H12" i="2"/>
  <c r="I12" i="2"/>
  <c r="J12" i="2" s="1"/>
  <c r="D12" i="13" s="1"/>
  <c r="I10" i="2"/>
  <c r="J10" i="2" s="1"/>
  <c r="D10" i="13" s="1"/>
  <c r="H10" i="2"/>
  <c r="I18" i="2"/>
  <c r="J18" i="2" s="1"/>
  <c r="E18" i="13" s="1"/>
  <c r="H18" i="2"/>
  <c r="H19" i="2"/>
  <c r="H20" i="2"/>
  <c r="H32" i="2"/>
  <c r="H17" i="2"/>
  <c r="I17" i="2"/>
  <c r="J17" i="2" s="1"/>
  <c r="E17" i="13" s="1"/>
  <c r="I9" i="2"/>
  <c r="J9" i="2" s="1"/>
  <c r="D9" i="13" s="1"/>
  <c r="H9" i="2"/>
  <c r="I8" i="2"/>
  <c r="J8" i="2" s="1"/>
  <c r="D8" i="13" s="1"/>
  <c r="I13" i="2"/>
  <c r="J13" i="2" s="1"/>
  <c r="E13" i="13" s="1"/>
  <c r="H13" i="2"/>
  <c r="H8" i="2"/>
  <c r="D80" i="13" l="1"/>
  <c r="C26" i="15"/>
  <c r="C39" i="15"/>
  <c r="C34" i="15"/>
  <c r="C13" i="15"/>
  <c r="E80" i="13" l="1"/>
  <c r="C41" i="15"/>
  <c r="F80" i="13" l="1"/>
  <c r="I94" i="2"/>
  <c r="J94" i="2" s="1"/>
  <c r="C93" i="13" s="1"/>
  <c r="D93" i="13" s="1"/>
  <c r="E93" i="13" s="1"/>
  <c r="F93" i="13" s="1"/>
  <c r="G93" i="13" s="1"/>
  <c r="H93" i="13" s="1"/>
  <c r="I93" i="13" s="1"/>
  <c r="J93" i="13" s="1"/>
  <c r="K93" i="13" s="1"/>
  <c r="I98" i="2"/>
  <c r="J98" i="2" s="1"/>
  <c r="I99" i="2"/>
  <c r="J99" i="2" s="1"/>
  <c r="H94" i="2"/>
  <c r="H98" i="2"/>
  <c r="H99" i="2"/>
  <c r="I93" i="2"/>
  <c r="J93" i="2" s="1"/>
  <c r="C92" i="13" s="1"/>
  <c r="D92" i="13" s="1"/>
  <c r="E92" i="13" s="1"/>
  <c r="F92" i="13" s="1"/>
  <c r="G92" i="13" s="1"/>
  <c r="H92" i="13" s="1"/>
  <c r="I92" i="13" s="1"/>
  <c r="J92" i="13" s="1"/>
  <c r="K92" i="13" s="1"/>
  <c r="H93" i="2"/>
  <c r="I100" i="2"/>
  <c r="J100" i="2" s="1"/>
  <c r="H100" i="2"/>
  <c r="G80" i="13" l="1"/>
  <c r="I81" i="2"/>
  <c r="J81" i="2" s="1"/>
  <c r="H81" i="2"/>
  <c r="H3" i="2" s="1"/>
  <c r="J91" i="2" l="1"/>
  <c r="J3" i="2"/>
  <c r="J102" i="2"/>
  <c r="D81" i="13" l="1"/>
  <c r="C102" i="13"/>
  <c r="C13" i="11"/>
  <c r="C8" i="11"/>
  <c r="C22" i="11" s="1"/>
  <c r="E81" i="13" l="1"/>
  <c r="D102" i="13"/>
  <c r="F81" i="13" l="1"/>
  <c r="E102" i="13"/>
  <c r="G81" i="13" l="1"/>
  <c r="F102" i="13"/>
  <c r="H81" i="13" l="1"/>
  <c r="G102" i="13"/>
  <c r="I81" i="13" l="1"/>
  <c r="H102" i="13"/>
  <c r="J81" i="13" l="1"/>
  <c r="I102" i="13"/>
  <c r="K102" i="13" l="1"/>
  <c r="J102" i="13"/>
  <c r="C104" i="13" l="1"/>
</calcChain>
</file>

<file path=xl/sharedStrings.xml><?xml version="1.0" encoding="utf-8"?>
<sst xmlns="http://schemas.openxmlformats.org/spreadsheetml/2006/main" count="609" uniqueCount="314">
  <si>
    <t>Câmara Municipal de Pará de Minas</t>
  </si>
  <si>
    <t>PLANILHA ORÇAMENTARIA</t>
  </si>
  <si>
    <t>BDI incluso</t>
  </si>
  <si>
    <t>DESCRIÇÃO</t>
  </si>
  <si>
    <t>UNIDADE</t>
  </si>
  <si>
    <t>QUANT.</t>
  </si>
  <si>
    <t>PREÇO sem BDI</t>
  </si>
  <si>
    <t>PREÇO com BDI</t>
  </si>
  <si>
    <t>UNITÁRIO</t>
  </si>
  <si>
    <t>TOTAL</t>
  </si>
  <si>
    <t>Itens</t>
  </si>
  <si>
    <t>ITEM</t>
  </si>
  <si>
    <t>% CD</t>
  </si>
  <si>
    <t>Administração do Escritório Central</t>
  </si>
  <si>
    <t xml:space="preserve"> </t>
  </si>
  <si>
    <t>Impostos e Taxas</t>
  </si>
  <si>
    <t>2.1</t>
  </si>
  <si>
    <t>ISS</t>
  </si>
  <si>
    <t>2.2</t>
  </si>
  <si>
    <t>PIS</t>
  </si>
  <si>
    <t>2.3</t>
  </si>
  <si>
    <t>Cofins</t>
  </si>
  <si>
    <t>Taxa de Risco</t>
  </si>
  <si>
    <t>3.1</t>
  </si>
  <si>
    <t>Seguro</t>
  </si>
  <si>
    <t>3.2</t>
  </si>
  <si>
    <t>Risco</t>
  </si>
  <si>
    <t>Garantia</t>
  </si>
  <si>
    <t>Despesas Financeiras</t>
  </si>
  <si>
    <t>Lucro</t>
  </si>
  <si>
    <t>BDI - Calculado</t>
  </si>
  <si>
    <t>Para o preenchimento da proposta deve-se utilizar o valor de ISS da Prefeitura Local.</t>
  </si>
  <si>
    <t>M²</t>
  </si>
  <si>
    <t>1.1</t>
  </si>
  <si>
    <t>1.2</t>
  </si>
  <si>
    <t>M</t>
  </si>
  <si>
    <t>1.3</t>
  </si>
  <si>
    <t>1.5</t>
  </si>
  <si>
    <t>Unidade</t>
  </si>
  <si>
    <t>1.6</t>
  </si>
  <si>
    <t>1.7</t>
  </si>
  <si>
    <t>1.8</t>
  </si>
  <si>
    <t>1.4</t>
  </si>
  <si>
    <t>SUBTOTAL</t>
  </si>
  <si>
    <t>1.9</t>
  </si>
  <si>
    <t>4.1</t>
  </si>
  <si>
    <t>4.2</t>
  </si>
  <si>
    <t>5.1</t>
  </si>
  <si>
    <t>ED-50992</t>
  </si>
  <si>
    <t xml:space="preserve">ITEM </t>
  </si>
  <si>
    <t>ATIVIDADE</t>
  </si>
  <si>
    <t>2.4</t>
  </si>
  <si>
    <t>2.5</t>
  </si>
  <si>
    <t>3.3</t>
  </si>
  <si>
    <t>Total Geral</t>
  </si>
  <si>
    <t>RETIRADA DE ENTULHO</t>
  </si>
  <si>
    <t>-</t>
  </si>
  <si>
    <t>REFERÊNCIAS</t>
  </si>
  <si>
    <t>ED-50175</t>
  </si>
  <si>
    <t>Pedreiro</t>
  </si>
  <si>
    <t>Servente</t>
  </si>
  <si>
    <t>Pintor</t>
  </si>
  <si>
    <t>HH</t>
  </si>
  <si>
    <t>MÃO DE OBRA DIRETA E ADMINISTRAÇÃO LOCAL</t>
  </si>
  <si>
    <t>ED-50382</t>
  </si>
  <si>
    <t>ED-50365</t>
  </si>
  <si>
    <t>Ajudante de pintor</t>
  </si>
  <si>
    <t xml:space="preserve">% </t>
  </si>
  <si>
    <t>GRUPO A</t>
  </si>
  <si>
    <t>INSS</t>
  </si>
  <si>
    <t>SESI</t>
  </si>
  <si>
    <t>SENAI</t>
  </si>
  <si>
    <t>INCRA</t>
  </si>
  <si>
    <t>SEBRAE</t>
  </si>
  <si>
    <t>Salário Educação</t>
  </si>
  <si>
    <t>Seguro Contra Acidente de Trabalho</t>
  </si>
  <si>
    <t>FGTS</t>
  </si>
  <si>
    <t>SECONCI</t>
  </si>
  <si>
    <t>TOTAL DO GRUPO A</t>
  </si>
  <si>
    <t>GRUPO B</t>
  </si>
  <si>
    <t>Repouso Semanal Remunerado</t>
  </si>
  <si>
    <t xml:space="preserve">Feriados </t>
  </si>
  <si>
    <t xml:space="preserve">Auxílio - Enfermidade </t>
  </si>
  <si>
    <t xml:space="preserve">13º Salário </t>
  </si>
  <si>
    <t>Licença Paternidade</t>
  </si>
  <si>
    <t>2.6</t>
  </si>
  <si>
    <t xml:space="preserve">Faltas Justificadas </t>
  </si>
  <si>
    <t>2.7</t>
  </si>
  <si>
    <t xml:space="preserve">Dias de Chuva </t>
  </si>
  <si>
    <t>2.8</t>
  </si>
  <si>
    <t xml:space="preserve">Auxílio Acidente de Trabalho </t>
  </si>
  <si>
    <t>2.9</t>
  </si>
  <si>
    <t>Férias Gozadas</t>
  </si>
  <si>
    <t>2.10</t>
  </si>
  <si>
    <t>Salário Maternidade</t>
  </si>
  <si>
    <t>TOTAL DO GRUPO B</t>
  </si>
  <si>
    <t>GRUPO C</t>
  </si>
  <si>
    <t>Aviso Prévio Indenizado</t>
  </si>
  <si>
    <t xml:space="preserve">Aviso Prévio Trabalhado </t>
  </si>
  <si>
    <t>Férias Indenizadas</t>
  </si>
  <si>
    <t>3.4</t>
  </si>
  <si>
    <t xml:space="preserve">Depósito Rescisão Sem Justa Causa </t>
  </si>
  <si>
    <t>3.5</t>
  </si>
  <si>
    <t>Indenização Adicional</t>
  </si>
  <si>
    <t>TOTAL DO GRUPO C</t>
  </si>
  <si>
    <t>GRUPO D</t>
  </si>
  <si>
    <t>Reincidência de Grupo A sobre Grupo B</t>
  </si>
  <si>
    <t>Reincidência de Grupo A sobre Aviso Prévio
Trabalhado e Reincidência do FGTS sobre
Aviso Prévio Indenizado</t>
  </si>
  <si>
    <t>TOTAL (A+B+C+D)</t>
  </si>
  <si>
    <t>MÃO-DE-OBRA</t>
  </si>
  <si>
    <t>1.10</t>
  </si>
  <si>
    <t>1.11</t>
  </si>
  <si>
    <t>1.12</t>
  </si>
  <si>
    <t>1.13</t>
  </si>
  <si>
    <t>1.14</t>
  </si>
  <si>
    <t>1.15</t>
  </si>
  <si>
    <t>Engenheiro Civil / Arquiteto - Acompanhamento diário na obra (média de duas horas por dia)</t>
  </si>
  <si>
    <t>02.29.01</t>
  </si>
  <si>
    <t>COBERTURA</t>
  </si>
  <si>
    <t>ED-50263</t>
  </si>
  <si>
    <t>Limpeza de calhas e tubos</t>
  </si>
  <si>
    <t>ED- 50265</t>
  </si>
  <si>
    <t>ED-48480</t>
  </si>
  <si>
    <t>Lixamento manual - Calhas</t>
  </si>
  <si>
    <t>ED-50508</t>
  </si>
  <si>
    <t>ED-50532</t>
  </si>
  <si>
    <t xml:space="preserve">Calafetação das junções e extremidades das calhas e dos parafusos de fixação do telhado </t>
  </si>
  <si>
    <t>ED-50679</t>
  </si>
  <si>
    <t>ED-48479</t>
  </si>
  <si>
    <t>ED-48463</t>
  </si>
  <si>
    <t>2.11</t>
  </si>
  <si>
    <t>Mestre de Obras</t>
  </si>
  <si>
    <t>ED-21778</t>
  </si>
  <si>
    <t>Mês</t>
  </si>
  <si>
    <t>Telhadista</t>
  </si>
  <si>
    <t>ED-50386</t>
  </si>
  <si>
    <t>Hora</t>
  </si>
  <si>
    <t>ED-48505</t>
  </si>
  <si>
    <t>2.12</t>
  </si>
  <si>
    <t>ED-50964</t>
  </si>
  <si>
    <t>1.16</t>
  </si>
  <si>
    <t>1.17</t>
  </si>
  <si>
    <t>1.18</t>
  </si>
  <si>
    <t>1.19</t>
  </si>
  <si>
    <t>1.20</t>
  </si>
  <si>
    <t>1.21</t>
  </si>
  <si>
    <t>2.13</t>
  </si>
  <si>
    <t>3.6</t>
  </si>
  <si>
    <t>3.7</t>
  </si>
  <si>
    <t>3.8</t>
  </si>
  <si>
    <t>3.9</t>
  </si>
  <si>
    <t>Pintura anticorrosiva a base de óxido de ferro (zarcão) - Calhas</t>
  </si>
  <si>
    <t>ED-9934</t>
  </si>
  <si>
    <t>ED-48509</t>
  </si>
  <si>
    <t xml:space="preserve">Remoção manual de telha metálica, com reaproveitamento, inclusive afastamento, empilhamento e instalação - Área de circulação próximo a escada fundos </t>
  </si>
  <si>
    <t>ED-48460</t>
  </si>
  <si>
    <t>Remoção manual de forro de placas (metálica perfurada) com reaproveitamento, inclusive afastamento, empilhamento e instalação</t>
  </si>
  <si>
    <t>ED-9933</t>
  </si>
  <si>
    <t>Contrapiso em laje (ladrilho) com inclinação, de 2% a 3%, desempenado com argamassa, traço 1:3 esp.20mm</t>
  </si>
  <si>
    <t>Demolição de rodapés e argamassa de assentamento e afastamento</t>
  </si>
  <si>
    <t>Demolição mecanizada de concreto, sem armação, com equipamento elétrico, inclusive afastamento e empilhamento</t>
  </si>
  <si>
    <t>M³</t>
  </si>
  <si>
    <t>Limpeza de superficie (lajes) com jato de alta presão</t>
  </si>
  <si>
    <t>ED-50569</t>
  </si>
  <si>
    <t>Contrapiso desempenado com argamassa, com inclinação para escoamento - Traço 1:3</t>
  </si>
  <si>
    <t>Pintura epóxi em piso, duas demãos, inclusive uma demão de primer epóxi e preparação da superfície com argamassa autonivelante, esp.4mm - Cor Azul (Padrão CMPM)</t>
  </si>
  <si>
    <t>Pintura epóxi em piso, duas demãos, inclusive uma demão de primer epóxi e preparação da superfície com argamassa autonivelante, esp.4mm - Cor Verde (Padrão CMPM)</t>
  </si>
  <si>
    <t>ANDAIME</t>
  </si>
  <si>
    <t>Instalação de rodapés em granito (padrão CMPM)</t>
  </si>
  <si>
    <t>Assentamento de ladrilho</t>
  </si>
  <si>
    <t>Calafetação dos chapim, localizados abaixo do guarda-corpo, nas juntas</t>
  </si>
  <si>
    <t>Calafetação dos chapuzes com Poliuretano tipo 36 nas juntas - telhado</t>
  </si>
  <si>
    <t>TERRAÇO PANORÂMICO - 5º PAVIMENTO</t>
  </si>
  <si>
    <t>JARDIM - 3º PAVIMENTO</t>
  </si>
  <si>
    <t>MARQUISES EXTERNAS - 5º AO 2º PAVIMENTO</t>
  </si>
  <si>
    <t>ED-50265</t>
  </si>
  <si>
    <t>Lavagem de fachada com hidrojateamento</t>
  </si>
  <si>
    <t>ED-50236</t>
  </si>
  <si>
    <t>Lixamento em parede para remoção de tinta</t>
  </si>
  <si>
    <t>ED-50505</t>
  </si>
  <si>
    <t>ED-50455</t>
  </si>
  <si>
    <t>Pintura acrílica em parede, duas demãos, inclusive uma demão de massa corrida - Cor cinza claro (padrão CMPM)</t>
  </si>
  <si>
    <t>Pintura acrílica em lajes das varandas, duas demãos, inclusive uma demão de massa corrida - Cor branco neve (padrão CMPM)</t>
  </si>
  <si>
    <t>PINTURA - 5º PAVIMENTO EXTERNA E FACHADAS</t>
  </si>
  <si>
    <t>Fornecimento e assentamento de janela, tipo Maxim-Ar com vidro liso 4mm, ferragens e acessórios - Padrão CMPM - Salas 419 e 418 - Dimensão 90x90cm</t>
  </si>
  <si>
    <t>GESSO - 5º PAVIMENTO</t>
  </si>
  <si>
    <t>GESSO E ESQUADRIAS - 4º PAVIMENTO</t>
  </si>
  <si>
    <t xml:space="preserve">Limpeza com hidrojateamento </t>
  </si>
  <si>
    <t>Forma e desforma de tábua e sarrafo, reaproveitamento (3x)</t>
  </si>
  <si>
    <t>Escoramento metálico para forma, altura de 311 ate 450cm, inclusive descarga, montagem, desmontagem e carga</t>
  </si>
  <si>
    <t>M²xMês</t>
  </si>
  <si>
    <t>ED-48328</t>
  </si>
  <si>
    <t>Lixamento de superficie de concreto</t>
  </si>
  <si>
    <t>ED-48307</t>
  </si>
  <si>
    <t>Regularização das faces frontais das marquises, traço 1:2:8 (cimento, cal e areia)</t>
  </si>
  <si>
    <t>ED-50568</t>
  </si>
  <si>
    <t>Contrapiso desempenado com argamassa, com inclinação para escoamento - Traço 1:3 espessura de 30mm</t>
  </si>
  <si>
    <t>Pintura impermeabilizante</t>
  </si>
  <si>
    <t>Demolição de revestimento inclusive afastamento e empilhamento</t>
  </si>
  <si>
    <t>ED-48243</t>
  </si>
  <si>
    <t>Condutor/duto de entulho em polietileno, inclusive acessórios de fixação, suportes, montagem e desmontagem e remanejamento</t>
  </si>
  <si>
    <t>MxMês</t>
  </si>
  <si>
    <t>ED-9075</t>
  </si>
  <si>
    <t>Fornecimento de andaime metálico para fachada (locação), inlcusive piso metálico e sapata</t>
  </si>
  <si>
    <t>M²xmês</t>
  </si>
  <si>
    <t>ED-48246</t>
  </si>
  <si>
    <t>Montagem e desmontagem de andaime metálico para fachada com piso metálico</t>
  </si>
  <si>
    <t>ED-51110</t>
  </si>
  <si>
    <t>Escavação manual de terra (desaterro manual)</t>
  </si>
  <si>
    <t>Escoramento de jardim, tipo contínuo empregando pranchas e longarinas de peroba</t>
  </si>
  <si>
    <t>ED-51101</t>
  </si>
  <si>
    <t>BARRACÃO DE OBRA</t>
  </si>
  <si>
    <t>ED-48198</t>
  </si>
  <si>
    <t>Alvenaria com bloco de concreto, esp. 14cm (fbk 4,5 mpa) para revestimento, inclusive argamassa para assentamento</t>
  </si>
  <si>
    <t>Pintura impermeabilizante em piso e laterais do jardim</t>
  </si>
  <si>
    <t>Chapim sobre peitoril do jardim, em granito, largura 25cm, assentado com argamassa 1:6 com aditivo</t>
  </si>
  <si>
    <t>Assentamento de ladrilho, padrão CMPM, com argamassa em camada única, aplicado em parede, traço 1:3, esp. 20mm, aplicação manual, preparo mecânico</t>
  </si>
  <si>
    <t>ED-50762</t>
  </si>
  <si>
    <t>Contrapiso desempenado com argamassa, traço 1:3 - com inclinação de 2% a 3% - escoamento</t>
  </si>
  <si>
    <t>ED-50128</t>
  </si>
  <si>
    <t>Barracão de obra para depósito e ferramentaria, área interna 14,52m² em chapa de compensado resinado, inclusive mobiliario (obra de pequeno porte, efetivo até 30 homens)</t>
  </si>
  <si>
    <t>Instalação de rufo e contra rufo de chapa galvanizada inclusive içamento vertical</t>
  </si>
  <si>
    <t>Pintura epóxi em piso, duas demãos, inclusive uma demão de primer epóxi - cinza</t>
  </si>
  <si>
    <t>Calafetação dos chapins, localizados nas extremidades da laje central da edificação, vedação das juntas</t>
  </si>
  <si>
    <t>Adequação de profundidade, demolição manual de contrapiso, das grelhas coletoras de água pluvial</t>
  </si>
  <si>
    <t>Limpeza de resíduos - Contrapiso</t>
  </si>
  <si>
    <t>Pintura epóxi em piso, duas demãos, inclusive uma demão de primer epóxi - Cor concreto</t>
  </si>
  <si>
    <t>Demolição manual de concreto (faces frontais), sem armação, inclusive afastamento e empilhamento</t>
  </si>
  <si>
    <t>Pintura epóxi em marquises, duas demãos, inclusive uma demão de primer epóxi - Cor branca (Padrão CMPM)</t>
  </si>
  <si>
    <t>PLACA DE OBRA</t>
  </si>
  <si>
    <t>UN</t>
  </si>
  <si>
    <t>6.1</t>
  </si>
  <si>
    <t>6.2</t>
  </si>
  <si>
    <t>6.3</t>
  </si>
  <si>
    <t>6.4</t>
  </si>
  <si>
    <t>6.5</t>
  </si>
  <si>
    <t>6.6</t>
  </si>
  <si>
    <t>6.7</t>
  </si>
  <si>
    <t>6.8</t>
  </si>
  <si>
    <t>7.1</t>
  </si>
  <si>
    <t>7.2</t>
  </si>
  <si>
    <t>7.3</t>
  </si>
  <si>
    <t>7.4</t>
  </si>
  <si>
    <t>7.5</t>
  </si>
  <si>
    <t>7.6</t>
  </si>
  <si>
    <t>7.7</t>
  </si>
  <si>
    <t>7.8</t>
  </si>
  <si>
    <t>7.9</t>
  </si>
  <si>
    <t>8.1</t>
  </si>
  <si>
    <t>8.2</t>
  </si>
  <si>
    <t>9.1</t>
  </si>
  <si>
    <t>9.2</t>
  </si>
  <si>
    <t>10.1</t>
  </si>
  <si>
    <t>11.1</t>
  </si>
  <si>
    <t>12.1</t>
  </si>
  <si>
    <t>12.2</t>
  </si>
  <si>
    <t>12.3</t>
  </si>
  <si>
    <t>12.4</t>
  </si>
  <si>
    <t>12.5</t>
  </si>
  <si>
    <t>12.6</t>
  </si>
  <si>
    <t>12.7</t>
  </si>
  <si>
    <t>SETOP / SINAPI /SUDECAP</t>
  </si>
  <si>
    <t>Reforma do 3°, 4° e 5º pavimento, pintura das fachadas e adequação da cobertura</t>
  </si>
  <si>
    <t>9.3</t>
  </si>
  <si>
    <t>ED48249</t>
  </si>
  <si>
    <t>Tela de proteção, tipo fachadeira, instalada em andaime metálico para fachada - inclusive acessórios de fixação</t>
  </si>
  <si>
    <t>12.8</t>
  </si>
  <si>
    <t>ED- 21777</t>
  </si>
  <si>
    <t>Técnico em segurança do trabalho</t>
  </si>
  <si>
    <t>Ajudante de telhadista</t>
  </si>
  <si>
    <t>ED-50364</t>
  </si>
  <si>
    <t>12.9</t>
  </si>
  <si>
    <t>01.03.02</t>
  </si>
  <si>
    <t>Placa de obra em lona impressão digital - Instalação de 2 Placas - Informes da Obra - 1,10x2,15m</t>
  </si>
  <si>
    <t>Demolição manual de ladrilho (laje), inclusive afastamento e empilhamento - Escada central e bloco localizado aos fundos</t>
  </si>
  <si>
    <t>ED-50164</t>
  </si>
  <si>
    <t>ED-50162</t>
  </si>
  <si>
    <t>Abertura para portão em grade, com módulo, inclusive pintura com duas demãos - Cor branca</t>
  </si>
  <si>
    <t>Fornecimento e instalação de fechamento de gradil em tela galvanizada, com trama losangular de 2x2", fio BWG 14, com módulo, inclusive pintura esmalte com duas demãos - Cor branca</t>
  </si>
  <si>
    <t>Limpeza de parede, ladrilho</t>
  </si>
  <si>
    <t>ED-13286</t>
  </si>
  <si>
    <t>Demolir forro/placa de gesso do 4º Pavimento, exclusive demolição da estrutura de sustentação, inclusive afastamento e empilhamento</t>
  </si>
  <si>
    <t>Demolir forro/placa de gesso do 5º Pavimento, exclusive demolição da estrutura de sustentação, inclusive afastamento e empilhamento</t>
  </si>
  <si>
    <t>L</t>
  </si>
  <si>
    <t>Resina acrílica, adicionada na argamassa - Impermeabilizante</t>
  </si>
  <si>
    <t>Resina acrílica, adicionada na tinta - Impermeabilizante</t>
  </si>
  <si>
    <t>Fundo preparador</t>
  </si>
  <si>
    <t>Diluente</t>
  </si>
  <si>
    <t>KG</t>
  </si>
  <si>
    <t>Tratatamento de superfície com trinca/fissura, inclusive fita autoadesiva de poliester</t>
  </si>
  <si>
    <t>Impermeabilizante flexivél acrílico, duas demãos</t>
  </si>
  <si>
    <t>1.22</t>
  </si>
  <si>
    <t>1.23</t>
  </si>
  <si>
    <t>Impermeabilizante flexivel acrílico, duas demãos</t>
  </si>
  <si>
    <t>Impermeabilizante incolor, para tratamento de fachadas</t>
  </si>
  <si>
    <t>Caçamba - 5m²</t>
  </si>
  <si>
    <t>ED-48440</t>
  </si>
  <si>
    <t>ED-49643</t>
  </si>
  <si>
    <t>ED-19634</t>
  </si>
  <si>
    <t>ED-9076</t>
  </si>
  <si>
    <t>Fornecimento de andaime metálico tubular tipo torre, inclusive rodízio</t>
  </si>
  <si>
    <t>MÊS</t>
  </si>
  <si>
    <t>CRONOGRAMA FÍSICO-FINANCEIRO</t>
  </si>
  <si>
    <t>Total Mensal</t>
  </si>
  <si>
    <t>5.2</t>
  </si>
  <si>
    <t>9.4</t>
  </si>
  <si>
    <t>Demolição manual de ladrilho (paredes), inclusive afastamento e empilhamento</t>
  </si>
  <si>
    <t>Chapins / pingadeira, em granito São gabriel, assentado com argamasa 1:6 com aditivo Extremidade das lajes presente proximo a caixa de escada de fundos</t>
  </si>
  <si>
    <t>Assentamento de revestimento, padrão CMPM, com argamassa em camada única, aplicado em piso, traço 1:3, esp. 20mm, aplicação manual, preparo mecânico</t>
  </si>
  <si>
    <t>Encargos Sociais Sem Desoneração - Mensalista</t>
  </si>
  <si>
    <t>Preenchimento de acordo com a tabela Setop</t>
  </si>
  <si>
    <t>Não Incide</t>
  </si>
  <si>
    <r>
      <rPr>
        <b/>
        <sz val="11"/>
        <color theme="1"/>
        <rFont val="Arial"/>
        <family val="2"/>
      </rPr>
      <t>NOTA:</t>
    </r>
    <r>
      <rPr>
        <sz val="11"/>
        <color theme="1"/>
        <rFont val="Arial"/>
        <family val="2"/>
      </rPr>
      <t xml:space="preserve"> As composições e planilhas foram elaboradas tomando-se por base as tabelas referênciais Setop, sudecap e Sinapi, além de pesquisas junto à prestadores de serviços da construção civil, bem como o conhecimento e experência profissional acumulados no exercício da profissão e em diversos projetos e obras.</t>
    </r>
  </si>
  <si>
    <t xml:space="preserve">BDI CALCULADO CONFORME ACÓRDÃO Nº 2622/2013 – TCU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</si>
</sst>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* #,##0.000_-;\-* #,##0.000_-;_-* &quot;-&quot;??_-;_-@_-"/>
    <numFmt numFmtId="165" formatCode="_-* #,##0.00_-;\-* #,##0.00_-;_-* &quot;-&quot;??????_-;_-@_-"/>
    <numFmt numFmtId="166" formatCode="_-* #,##0_-;\-* #,##0_-;_-* &quot;-&quot;??_-;_-@_-"/>
    <numFmt numFmtId="167" formatCode="&quot;R$&quot;\ #,##0.00"/>
    <numFmt numFmtId="168" formatCode="_-&quot;R$&quot;\ * #,##0.000_-;\-&quot;R$&quot;\ * #,##0.000_-;_-&quot;R$&quot;\ * &quot;-&quot;??_-;_-@_-"/>
    <numFmt numFmtId="169" formatCode="_-&quot;R$&quot;\ * #,##0.0000_-;\-&quot;R$&quot;\ * #,##0.0000_-;_-&quot;R$&quot;\ * &quot;-&quot;??_-;_-@_-"/>
    <numFmt numFmtId="170" formatCode="_-&quot;R$&quot;* #,##0.00_-;\-&quot;R$&quot;* #,##0.00_-;_-&quot;R$&quot;* &quot;-&quot;??_-;_-@_-"/>
    <numFmt numFmtId="171" formatCode="_-* #,##0.00000_-;\-* #,##0.00000_-;_-* &quot;-&quot;??_-;_-@_-"/>
    <numFmt numFmtId="172" formatCode="_-* #,##0.0000000_-;\-* #,##0.0000000_-;_-* &quot;-&quot;??_-;_-@_-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color rgb="FF000000"/>
      <name val="Arial"/>
      <family val="2"/>
    </font>
    <font>
      <sz val="8"/>
      <color rgb="FF010000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i/>
      <sz val="8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8"/>
      <name val="Calibri"/>
      <family val="2"/>
      <scheme val="minor"/>
    </font>
    <font>
      <b/>
      <sz val="10"/>
      <color theme="1"/>
      <name val="Arial"/>
      <family val="2"/>
    </font>
    <font>
      <b/>
      <sz val="14"/>
      <color theme="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8"/>
      <color theme="1"/>
      <name val="Arial"/>
      <family val="2"/>
    </font>
    <font>
      <b/>
      <sz val="11"/>
      <color rgb="FF888888"/>
      <name val="Arial"/>
      <family val="2"/>
    </font>
    <font>
      <sz val="11"/>
      <color rgb="FF888888"/>
      <name val="Arial"/>
      <family val="2"/>
    </font>
    <font>
      <sz val="8"/>
      <color rgb="FF888888"/>
      <name val="Arial"/>
      <family val="2"/>
    </font>
    <font>
      <b/>
      <sz val="9"/>
      <color theme="1"/>
      <name val="Arial"/>
      <family val="2"/>
    </font>
    <font>
      <b/>
      <sz val="16"/>
      <color theme="1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9"/>
      <color theme="1"/>
      <name val="Arial"/>
      <family val="2"/>
    </font>
    <font>
      <sz val="10"/>
      <name val="Times New Roman"/>
      <family val="1"/>
    </font>
    <font>
      <sz val="9"/>
      <name val="Arial"/>
      <family val="2"/>
    </font>
    <font>
      <sz val="12"/>
      <color theme="1"/>
      <name val="Arial"/>
      <family val="2"/>
    </font>
    <font>
      <sz val="8"/>
      <name val="Tahoma"/>
      <family val="2"/>
    </font>
    <font>
      <b/>
      <sz val="12"/>
      <color theme="1"/>
      <name val="Arial"/>
      <family val="2"/>
    </font>
    <font>
      <sz val="8"/>
      <name val="Arial"/>
      <family val="2"/>
    </font>
    <font>
      <b/>
      <sz val="10"/>
      <color rgb="FFFF0000"/>
      <name val="Arial"/>
      <family val="2"/>
    </font>
    <font>
      <b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3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0" fontId="1" fillId="0" borderId="0" applyFont="0" applyFill="0" applyBorder="0" applyAlignment="0" applyProtection="0"/>
  </cellStyleXfs>
  <cellXfs count="239">
    <xf numFmtId="0" fontId="0" fillId="0" borderId="0" xfId="0"/>
    <xf numFmtId="0" fontId="6" fillId="0" borderId="0" xfId="0" applyFont="1"/>
    <xf numFmtId="43" fontId="6" fillId="0" borderId="2" xfId="1" applyFont="1" applyFill="1" applyBorder="1" applyAlignment="1">
      <alignment horizontal="center" vertical="center"/>
    </xf>
    <xf numFmtId="43" fontId="6" fillId="0" borderId="0" xfId="1" applyFont="1"/>
    <xf numFmtId="44" fontId="6" fillId="0" borderId="0" xfId="2" applyFont="1" applyFill="1" applyBorder="1"/>
    <xf numFmtId="0" fontId="5" fillId="0" borderId="2" xfId="0" applyFont="1" applyBorder="1" applyAlignment="1">
      <alignment horizontal="center" vertical="center"/>
    </xf>
    <xf numFmtId="43" fontId="5" fillId="0" borderId="2" xfId="1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vertical="center"/>
    </xf>
    <xf numFmtId="2" fontId="14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/>
    </xf>
    <xf numFmtId="2" fontId="8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vertical="center"/>
    </xf>
    <xf numFmtId="0" fontId="9" fillId="0" borderId="2" xfId="0" applyFont="1" applyBorder="1" applyAlignment="1">
      <alignment horizontal="center" vertical="center"/>
    </xf>
    <xf numFmtId="44" fontId="5" fillId="0" borderId="11" xfId="2" applyFont="1" applyFill="1" applyBorder="1" applyAlignment="1">
      <alignment horizontal="center" vertical="center"/>
    </xf>
    <xf numFmtId="0" fontId="6" fillId="0" borderId="10" xfId="0" applyFont="1" applyBorder="1"/>
    <xf numFmtId="43" fontId="6" fillId="0" borderId="11" xfId="1" applyFont="1" applyFill="1" applyBorder="1"/>
    <xf numFmtId="0" fontId="16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43" fontId="6" fillId="0" borderId="2" xfId="1" applyFont="1" applyFill="1" applyBorder="1" applyAlignment="1">
      <alignment vertical="center"/>
    </xf>
    <xf numFmtId="43" fontId="6" fillId="0" borderId="11" xfId="1" applyFont="1" applyFill="1" applyBorder="1" applyAlignment="1">
      <alignment vertical="center"/>
    </xf>
    <xf numFmtId="0" fontId="11" fillId="3" borderId="10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43" fontId="6" fillId="0" borderId="0" xfId="1" applyFont="1" applyAlignment="1"/>
    <xf numFmtId="43" fontId="6" fillId="0" borderId="0" xfId="1" applyFont="1" applyFill="1" applyBorder="1" applyAlignment="1">
      <alignment horizontal="center" vertical="center"/>
    </xf>
    <xf numFmtId="43" fontId="6" fillId="0" borderId="0" xfId="1" applyFont="1" applyFill="1" applyBorder="1" applyAlignment="1">
      <alignment vertical="center"/>
    </xf>
    <xf numFmtId="43" fontId="6" fillId="0" borderId="0" xfId="1" applyFont="1" applyAlignment="1">
      <alignment vertical="center"/>
    </xf>
    <xf numFmtId="43" fontId="6" fillId="0" borderId="0" xfId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44" fontId="8" fillId="0" borderId="2" xfId="2" applyFont="1" applyBorder="1" applyAlignment="1">
      <alignment vertical="center"/>
    </xf>
    <xf numFmtId="0" fontId="9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3" fontId="11" fillId="3" borderId="24" xfId="1" applyFont="1" applyFill="1" applyBorder="1" applyAlignment="1">
      <alignment vertical="center"/>
    </xf>
    <xf numFmtId="43" fontId="7" fillId="3" borderId="14" xfId="1" applyFont="1" applyFill="1" applyBorder="1" applyAlignment="1">
      <alignment horizontal="center" vertical="center"/>
    </xf>
    <xf numFmtId="165" fontId="11" fillId="3" borderId="15" xfId="0" applyNumberFormat="1" applyFont="1" applyFill="1" applyBorder="1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44" fontId="23" fillId="0" borderId="0" xfId="2" applyFont="1" applyFill="1" applyBorder="1" applyAlignment="1">
      <alignment horizontal="center" vertical="center"/>
    </xf>
    <xf numFmtId="44" fontId="6" fillId="0" borderId="0" xfId="2" applyFont="1" applyFill="1" applyBorder="1" applyAlignment="1">
      <alignment horizontal="center" vertical="center"/>
    </xf>
    <xf numFmtId="43" fontId="6" fillId="0" borderId="0" xfId="1" applyFont="1" applyFill="1" applyBorder="1" applyAlignment="1"/>
    <xf numFmtId="0" fontId="24" fillId="0" borderId="0" xfId="5" applyFont="1" applyAlignment="1">
      <alignment horizontal="left" vertical="justify"/>
    </xf>
    <xf numFmtId="0" fontId="24" fillId="0" borderId="0" xfId="5" applyFont="1" applyAlignment="1">
      <alignment horizontal="center" vertical="center"/>
    </xf>
    <xf numFmtId="0" fontId="8" fillId="0" borderId="0" xfId="0" applyFont="1" applyAlignment="1">
      <alignment vertical="center" wrapText="1"/>
    </xf>
    <xf numFmtId="44" fontId="13" fillId="0" borderId="0" xfId="2" applyFont="1" applyFill="1" applyBorder="1" applyAlignment="1" applyProtection="1">
      <alignment horizontal="center" vertical="center" wrapText="1"/>
      <protection hidden="1"/>
    </xf>
    <xf numFmtId="44" fontId="25" fillId="0" borderId="0" xfId="2" applyFont="1" applyFill="1" applyBorder="1" applyAlignment="1" applyProtection="1">
      <alignment horizontal="center" vertical="center" wrapText="1"/>
      <protection hidden="1"/>
    </xf>
    <xf numFmtId="44" fontId="8" fillId="0" borderId="0" xfId="2" applyFont="1" applyFill="1" applyBorder="1" applyAlignment="1" applyProtection="1">
      <alignment horizontal="center" vertical="center" wrapText="1"/>
      <protection hidden="1"/>
    </xf>
    <xf numFmtId="0" fontId="26" fillId="0" borderId="0" xfId="0" applyFont="1" applyAlignment="1">
      <alignment horizontal="center" vertical="center"/>
    </xf>
    <xf numFmtId="0" fontId="26" fillId="0" borderId="0" xfId="0" applyFont="1"/>
    <xf numFmtId="1" fontId="27" fillId="0" borderId="0" xfId="0" applyNumberFormat="1" applyFont="1" applyAlignment="1">
      <alignment horizontal="left" vertical="center" wrapText="1"/>
    </xf>
    <xf numFmtId="1" fontId="27" fillId="0" borderId="0" xfId="0" applyNumberFormat="1" applyFont="1" applyAlignment="1">
      <alignment horizontal="center" vertical="center" wrapText="1"/>
    </xf>
    <xf numFmtId="4" fontId="27" fillId="0" borderId="0" xfId="0" applyNumberFormat="1" applyFont="1" applyAlignment="1">
      <alignment horizontal="right" vertical="center"/>
    </xf>
    <xf numFmtId="44" fontId="27" fillId="0" borderId="0" xfId="1" applyNumberFormat="1" applyFont="1" applyFill="1" applyBorder="1" applyAlignment="1">
      <alignment horizontal="right" vertical="center"/>
    </xf>
    <xf numFmtId="39" fontId="27" fillId="0" borderId="0" xfId="0" applyNumberFormat="1" applyFont="1" applyAlignment="1">
      <alignment horizontal="right" vertical="center"/>
    </xf>
    <xf numFmtId="9" fontId="9" fillId="0" borderId="0" xfId="6" applyFont="1" applyFill="1" applyBorder="1" applyAlignment="1">
      <alignment horizontal="center" vertical="center" wrapText="1"/>
    </xf>
    <xf numFmtId="44" fontId="14" fillId="0" borderId="0" xfId="2" applyFont="1" applyFill="1" applyBorder="1" applyAlignment="1">
      <alignment horizontal="center" vertical="center"/>
    </xf>
    <xf numFmtId="44" fontId="9" fillId="0" borderId="0" xfId="2" applyFont="1" applyFill="1" applyBorder="1" applyAlignment="1">
      <alignment horizontal="center" vertical="center" wrapText="1"/>
    </xf>
    <xf numFmtId="44" fontId="9" fillId="0" borderId="0" xfId="2" applyFont="1" applyFill="1" applyBorder="1" applyAlignment="1">
      <alignment horizontal="center" vertical="center"/>
    </xf>
    <xf numFmtId="0" fontId="19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12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9" fillId="2" borderId="2" xfId="2" applyNumberFormat="1" applyFont="1" applyFill="1" applyBorder="1" applyAlignment="1">
      <alignment horizontal="center" vertical="center"/>
    </xf>
    <xf numFmtId="0" fontId="9" fillId="6" borderId="2" xfId="0" applyFont="1" applyFill="1" applyBorder="1" applyAlignment="1">
      <alignment horizontal="center" vertical="center"/>
    </xf>
    <xf numFmtId="0" fontId="28" fillId="5" borderId="2" xfId="0" applyFont="1" applyFill="1" applyBorder="1" applyAlignment="1">
      <alignment horizontal="center" vertical="center"/>
    </xf>
    <xf numFmtId="0" fontId="28" fillId="5" borderId="2" xfId="0" applyFont="1" applyFill="1" applyBorder="1" applyAlignment="1">
      <alignment vertical="center"/>
    </xf>
    <xf numFmtId="2" fontId="9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vertical="center" wrapText="1"/>
    </xf>
    <xf numFmtId="0" fontId="14" fillId="2" borderId="2" xfId="0" applyFont="1" applyFill="1" applyBorder="1" applyAlignment="1">
      <alignment horizontal="center" vertical="center"/>
    </xf>
    <xf numFmtId="0" fontId="11" fillId="2" borderId="2" xfId="0" applyFont="1" applyFill="1" applyBorder="1"/>
    <xf numFmtId="2" fontId="9" fillId="2" borderId="2" xfId="0" applyNumberFormat="1" applyFont="1" applyFill="1" applyBorder="1" applyAlignment="1">
      <alignment horizontal="center" vertical="center"/>
    </xf>
    <xf numFmtId="2" fontId="9" fillId="2" borderId="2" xfId="0" applyNumberFormat="1" applyFont="1" applyFill="1" applyBorder="1" applyAlignment="1">
      <alignment horizontal="center"/>
    </xf>
    <xf numFmtId="0" fontId="14" fillId="2" borderId="2" xfId="0" applyFont="1" applyFill="1" applyBorder="1" applyAlignment="1">
      <alignment vertical="center"/>
    </xf>
    <xf numFmtId="2" fontId="14" fillId="2" borderId="2" xfId="0" applyNumberFormat="1" applyFont="1" applyFill="1" applyBorder="1" applyAlignment="1">
      <alignment horizontal="center" vertical="center"/>
    </xf>
    <xf numFmtId="167" fontId="6" fillId="0" borderId="0" xfId="0" applyNumberFormat="1" applyFont="1"/>
    <xf numFmtId="44" fontId="8" fillId="0" borderId="2" xfId="2" applyFont="1" applyFill="1" applyBorder="1" applyAlignment="1">
      <alignment vertical="center"/>
    </xf>
    <xf numFmtId="168" fontId="8" fillId="0" borderId="2" xfId="0" applyNumberFormat="1" applyFont="1" applyBorder="1" applyAlignment="1">
      <alignment vertical="center" wrapText="1"/>
    </xf>
    <xf numFmtId="169" fontId="8" fillId="0" borderId="0" xfId="0" applyNumberFormat="1" applyFont="1" applyAlignment="1">
      <alignment vertical="center"/>
    </xf>
    <xf numFmtId="0" fontId="9" fillId="2" borderId="3" xfId="0" applyFont="1" applyFill="1" applyBorder="1" applyAlignment="1">
      <alignment vertical="center"/>
    </xf>
    <xf numFmtId="43" fontId="6" fillId="0" borderId="0" xfId="1" applyFont="1" applyFill="1"/>
    <xf numFmtId="43" fontId="12" fillId="0" borderId="0" xfId="1" applyFont="1" applyFill="1" applyBorder="1" applyAlignment="1">
      <alignment vertical="center"/>
    </xf>
    <xf numFmtId="43" fontId="28" fillId="0" borderId="0" xfId="1" applyFont="1" applyFill="1" applyBorder="1" applyAlignment="1">
      <alignment vertical="center"/>
    </xf>
    <xf numFmtId="43" fontId="9" fillId="0" borderId="0" xfId="1" applyFont="1" applyBorder="1" applyAlignment="1">
      <alignment vertical="center" wrapText="1"/>
    </xf>
    <xf numFmtId="43" fontId="19" fillId="0" borderId="0" xfId="1" applyFont="1" applyBorder="1" applyAlignment="1">
      <alignment vertical="center" wrapText="1"/>
    </xf>
    <xf numFmtId="171" fontId="6" fillId="0" borderId="0" xfId="1" applyNumberFormat="1" applyFont="1"/>
    <xf numFmtId="172" fontId="6" fillId="0" borderId="0" xfId="1" applyNumberFormat="1" applyFont="1"/>
    <xf numFmtId="43" fontId="3" fillId="0" borderId="2" xfId="0" applyNumberFormat="1" applyFont="1" applyBorder="1" applyAlignment="1">
      <alignment horizontal="center" vertical="center"/>
    </xf>
    <xf numFmtId="43" fontId="3" fillId="0" borderId="2" xfId="0" applyNumberFormat="1" applyFont="1" applyBorder="1" applyAlignment="1">
      <alignment horizontal="justify" vertical="center" wrapText="1"/>
    </xf>
    <xf numFmtId="43" fontId="3" fillId="0" borderId="2" xfId="0" applyNumberFormat="1" applyFont="1" applyBorder="1" applyAlignment="1">
      <alignment horizontal="center" vertical="center" wrapText="1"/>
    </xf>
    <xf numFmtId="43" fontId="3" fillId="0" borderId="5" xfId="0" applyNumberFormat="1" applyFont="1" applyBorder="1" applyAlignment="1">
      <alignment horizontal="center" vertical="center"/>
    </xf>
    <xf numFmtId="43" fontId="3" fillId="0" borderId="5" xfId="0" applyNumberFormat="1" applyFont="1" applyBorder="1" applyAlignment="1">
      <alignment horizontal="justify" vertical="center" wrapText="1"/>
    </xf>
    <xf numFmtId="43" fontId="3" fillId="0" borderId="5" xfId="0" applyNumberFormat="1" applyFont="1" applyBorder="1" applyAlignment="1">
      <alignment horizontal="center" vertical="center" wrapText="1"/>
    </xf>
    <xf numFmtId="43" fontId="6" fillId="0" borderId="5" xfId="1" applyFont="1" applyFill="1" applyBorder="1" applyAlignment="1">
      <alignment horizontal="center" vertical="center"/>
    </xf>
    <xf numFmtId="43" fontId="3" fillId="3" borderId="2" xfId="0" applyNumberFormat="1" applyFont="1" applyFill="1" applyBorder="1" applyAlignment="1">
      <alignment horizontal="center" vertical="center"/>
    </xf>
    <xf numFmtId="0" fontId="9" fillId="2" borderId="3" xfId="2" applyNumberFormat="1" applyFont="1" applyFill="1" applyBorder="1" applyAlignment="1">
      <alignment horizontal="center" vertical="center"/>
    </xf>
    <xf numFmtId="44" fontId="8" fillId="0" borderId="3" xfId="2" applyFont="1" applyFill="1" applyBorder="1" applyAlignment="1">
      <alignment vertical="center"/>
    </xf>
    <xf numFmtId="168" fontId="8" fillId="0" borderId="3" xfId="2" applyNumberFormat="1" applyFont="1" applyFill="1" applyBorder="1" applyAlignment="1">
      <alignment vertical="center"/>
    </xf>
    <xf numFmtId="44" fontId="8" fillId="0" borderId="3" xfId="2" applyFont="1" applyBorder="1" applyAlignment="1">
      <alignment vertical="center"/>
    </xf>
    <xf numFmtId="0" fontId="5" fillId="0" borderId="3" xfId="0" applyFont="1" applyBorder="1" applyAlignment="1">
      <alignment vertical="center" wrapText="1"/>
    </xf>
    <xf numFmtId="43" fontId="6" fillId="0" borderId="10" xfId="0" applyNumberFormat="1" applyFont="1" applyBorder="1" applyAlignment="1">
      <alignment horizontal="center" vertical="center"/>
    </xf>
    <xf numFmtId="43" fontId="4" fillId="0" borderId="2" xfId="1" applyFont="1" applyFill="1" applyBorder="1" applyAlignment="1">
      <alignment vertical="center"/>
    </xf>
    <xf numFmtId="43" fontId="6" fillId="0" borderId="9" xfId="0" applyNumberFormat="1" applyFont="1" applyBorder="1" applyAlignment="1">
      <alignment horizontal="center" vertical="center"/>
    </xf>
    <xf numFmtId="43" fontId="19" fillId="2" borderId="11" xfId="1" applyFont="1" applyFill="1" applyBorder="1" applyAlignment="1">
      <alignment vertical="center"/>
    </xf>
    <xf numFmtId="43" fontId="3" fillId="0" borderId="2" xfId="1" applyFont="1" applyFill="1" applyBorder="1" applyAlignment="1">
      <alignment horizontal="center" vertical="center" wrapText="1"/>
    </xf>
    <xf numFmtId="43" fontId="6" fillId="0" borderId="11" xfId="1" applyFont="1" applyFill="1" applyBorder="1" applyAlignment="1">
      <alignment horizontal="center" vertical="center"/>
    </xf>
    <xf numFmtId="43" fontId="4" fillId="0" borderId="2" xfId="1" applyFont="1" applyFill="1" applyBorder="1" applyAlignment="1">
      <alignment horizontal="center" vertical="center"/>
    </xf>
    <xf numFmtId="43" fontId="8" fillId="0" borderId="2" xfId="0" applyNumberFormat="1" applyFont="1" applyBorder="1" applyAlignment="1">
      <alignment vertical="center" wrapText="1"/>
    </xf>
    <xf numFmtId="43" fontId="8" fillId="0" borderId="3" xfId="0" applyNumberFormat="1" applyFont="1" applyBorder="1" applyAlignment="1">
      <alignment vertical="center" wrapText="1"/>
    </xf>
    <xf numFmtId="43" fontId="6" fillId="0" borderId="0" xfId="1" applyFont="1" applyAlignment="1">
      <alignment vertical="top"/>
    </xf>
    <xf numFmtId="0" fontId="3" fillId="0" borderId="5" xfId="0" applyFont="1" applyBorder="1" applyAlignment="1">
      <alignment horizontal="center" vertical="center"/>
    </xf>
    <xf numFmtId="43" fontId="3" fillId="0" borderId="5" xfId="0" applyNumberFormat="1" applyFont="1" applyBorder="1" applyAlignment="1">
      <alignment horizontal="left" vertical="center" wrapText="1"/>
    </xf>
    <xf numFmtId="43" fontId="4" fillId="0" borderId="2" xfId="0" applyNumberFormat="1" applyFont="1" applyBorder="1" applyAlignment="1">
      <alignment horizontal="center" vertical="center"/>
    </xf>
    <xf numFmtId="17" fontId="3" fillId="0" borderId="5" xfId="0" applyNumberFormat="1" applyFont="1" applyBorder="1" applyAlignment="1">
      <alignment horizontal="center" vertical="center"/>
    </xf>
    <xf numFmtId="43" fontId="3" fillId="0" borderId="16" xfId="0" applyNumberFormat="1" applyFont="1" applyBorder="1" applyAlignment="1">
      <alignment horizontal="center" vertical="center"/>
    </xf>
    <xf numFmtId="43" fontId="4" fillId="0" borderId="2" xfId="0" applyNumberFormat="1" applyFont="1" applyBorder="1" applyAlignment="1">
      <alignment horizontal="justify" vertical="center"/>
    </xf>
    <xf numFmtId="43" fontId="3" fillId="0" borderId="2" xfId="0" applyNumberFormat="1" applyFont="1" applyBorder="1" applyAlignment="1">
      <alignment horizontal="left" vertical="center" wrapText="1"/>
    </xf>
    <xf numFmtId="43" fontId="29" fillId="0" borderId="2" xfId="0" applyNumberFormat="1" applyFont="1" applyBorder="1" applyAlignment="1">
      <alignment horizontal="justify" vertical="center" wrapText="1"/>
    </xf>
    <xf numFmtId="43" fontId="29" fillId="0" borderId="2" xfId="0" applyNumberFormat="1" applyFont="1" applyBorder="1" applyAlignment="1">
      <alignment horizontal="left" vertical="center" wrapText="1"/>
    </xf>
    <xf numFmtId="43" fontId="3" fillId="0" borderId="5" xfId="1" applyFont="1" applyFill="1" applyBorder="1" applyAlignment="1">
      <alignment horizontal="center" vertical="center" wrapText="1"/>
    </xf>
    <xf numFmtId="43" fontId="5" fillId="3" borderId="4" xfId="1" applyFont="1" applyFill="1" applyBorder="1" applyAlignment="1">
      <alignment horizontal="center" vertical="center"/>
    </xf>
    <xf numFmtId="0" fontId="11" fillId="3" borderId="3" xfId="0" applyFont="1" applyFill="1" applyBorder="1"/>
    <xf numFmtId="0" fontId="11" fillId="3" borderId="1" xfId="0" applyFont="1" applyFill="1" applyBorder="1"/>
    <xf numFmtId="0" fontId="11" fillId="3" borderId="28" xfId="0" applyFont="1" applyFill="1" applyBorder="1"/>
    <xf numFmtId="0" fontId="30" fillId="3" borderId="1" xfId="0" applyFont="1" applyFill="1" applyBorder="1"/>
    <xf numFmtId="0" fontId="30" fillId="3" borderId="28" xfId="0" applyFont="1" applyFill="1" applyBorder="1"/>
    <xf numFmtId="43" fontId="11" fillId="3" borderId="3" xfId="0" applyNumberFormat="1" applyFont="1" applyFill="1" applyBorder="1"/>
    <xf numFmtId="43" fontId="11" fillId="3" borderId="1" xfId="0" applyNumberFormat="1" applyFont="1" applyFill="1" applyBorder="1"/>
    <xf numFmtId="43" fontId="11" fillId="3" borderId="28" xfId="0" applyNumberFormat="1" applyFont="1" applyFill="1" applyBorder="1"/>
    <xf numFmtId="43" fontId="29" fillId="0" borderId="5" xfId="0" applyNumberFormat="1" applyFont="1" applyBorder="1" applyAlignment="1">
      <alignment horizontal="justify" vertical="center" wrapText="1"/>
    </xf>
    <xf numFmtId="43" fontId="29" fillId="0" borderId="5" xfId="0" applyNumberFormat="1" applyFont="1" applyBorder="1" applyAlignment="1">
      <alignment horizontal="left" vertical="center" wrapText="1"/>
    </xf>
    <xf numFmtId="43" fontId="3" fillId="0" borderId="3" xfId="0" applyNumberFormat="1" applyFont="1" applyBorder="1" applyAlignment="1">
      <alignment horizontal="center" vertical="center"/>
    </xf>
    <xf numFmtId="43" fontId="6" fillId="0" borderId="1" xfId="1" applyFont="1" applyFill="1" applyBorder="1" applyAlignment="1">
      <alignment horizontal="center" vertical="center"/>
    </xf>
    <xf numFmtId="43" fontId="4" fillId="0" borderId="1" xfId="1" applyFont="1" applyFill="1" applyBorder="1" applyAlignment="1">
      <alignment horizontal="center" vertical="center"/>
    </xf>
    <xf numFmtId="43" fontId="29" fillId="0" borderId="2" xfId="1" applyFont="1" applyFill="1" applyBorder="1" applyAlignment="1">
      <alignment vertical="center"/>
    </xf>
    <xf numFmtId="43" fontId="29" fillId="0" borderId="1" xfId="0" applyNumberFormat="1" applyFont="1" applyBorder="1" applyAlignment="1">
      <alignment horizontal="justify" vertical="center" wrapText="1"/>
    </xf>
    <xf numFmtId="168" fontId="9" fillId="6" borderId="3" xfId="0" applyNumberFormat="1" applyFont="1" applyFill="1" applyBorder="1" applyAlignment="1">
      <alignment horizontal="left" vertical="center"/>
    </xf>
    <xf numFmtId="0" fontId="31" fillId="3" borderId="3" xfId="0" applyFont="1" applyFill="1" applyBorder="1"/>
    <xf numFmtId="43" fontId="29" fillId="0" borderId="9" xfId="0" applyNumberFormat="1" applyFont="1" applyBorder="1" applyAlignment="1">
      <alignment horizontal="center" vertical="center"/>
    </xf>
    <xf numFmtId="43" fontId="29" fillId="0" borderId="5" xfId="0" applyNumberFormat="1" applyFont="1" applyBorder="1" applyAlignment="1">
      <alignment horizontal="center" vertical="center"/>
    </xf>
    <xf numFmtId="43" fontId="29" fillId="0" borderId="5" xfId="0" applyNumberFormat="1" applyFont="1" applyBorder="1" applyAlignment="1">
      <alignment horizontal="center" vertical="center" wrapText="1"/>
    </xf>
    <xf numFmtId="43" fontId="29" fillId="0" borderId="5" xfId="1" applyFont="1" applyFill="1" applyBorder="1" applyAlignment="1">
      <alignment horizontal="center" vertical="center" wrapText="1"/>
    </xf>
    <xf numFmtId="43" fontId="29" fillId="0" borderId="2" xfId="1" applyFont="1" applyFill="1" applyBorder="1" applyAlignment="1">
      <alignment horizontal="center" vertical="center"/>
    </xf>
    <xf numFmtId="43" fontId="29" fillId="0" borderId="11" xfId="1" applyFont="1" applyFill="1" applyBorder="1" applyAlignment="1">
      <alignment vertical="center"/>
    </xf>
    <xf numFmtId="0" fontId="6" fillId="0" borderId="0" xfId="0" applyFont="1" applyAlignment="1">
      <alignment horizontal="left"/>
    </xf>
    <xf numFmtId="43" fontId="29" fillId="0" borderId="0" xfId="1" applyFont="1" applyFill="1"/>
    <xf numFmtId="0" fontId="29" fillId="0" borderId="0" xfId="0" applyFont="1"/>
    <xf numFmtId="0" fontId="29" fillId="0" borderId="0" xfId="0" applyFont="1" applyAlignment="1">
      <alignment horizontal="left"/>
    </xf>
    <xf numFmtId="43" fontId="29" fillId="0" borderId="2" xfId="0" applyNumberFormat="1" applyFont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/>
    </xf>
    <xf numFmtId="168" fontId="9" fillId="6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0" fontId="9" fillId="6" borderId="3" xfId="0" applyFont="1" applyFill="1" applyBorder="1" applyAlignment="1">
      <alignment vertical="center"/>
    </xf>
    <xf numFmtId="0" fontId="9" fillId="6" borderId="1" xfId="0" applyFont="1" applyFill="1" applyBorder="1" applyAlignment="1">
      <alignment vertical="center"/>
    </xf>
    <xf numFmtId="43" fontId="9" fillId="6" borderId="3" xfId="0" applyNumberFormat="1" applyFont="1" applyFill="1" applyBorder="1" applyAlignment="1">
      <alignment vertical="center"/>
    </xf>
    <xf numFmtId="0" fontId="9" fillId="6" borderId="8" xfId="0" applyFont="1" applyFill="1" applyBorder="1" applyAlignment="1">
      <alignment vertical="center"/>
    </xf>
    <xf numFmtId="0" fontId="9" fillId="6" borderId="30" xfId="0" applyFont="1" applyFill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44" fontId="0" fillId="0" borderId="0" xfId="0" applyNumberFormat="1"/>
    <xf numFmtId="10" fontId="7" fillId="3" borderId="11" xfId="0" applyNumberFormat="1" applyFont="1" applyFill="1" applyBorder="1"/>
    <xf numFmtId="44" fontId="9" fillId="0" borderId="2" xfId="2" applyFont="1" applyBorder="1" applyAlignment="1">
      <alignment vertical="center"/>
    </xf>
    <xf numFmtId="43" fontId="5" fillId="0" borderId="2" xfId="0" applyNumberFormat="1" applyFont="1" applyBorder="1" applyAlignment="1">
      <alignment vertical="center" wrapText="1"/>
    </xf>
    <xf numFmtId="43" fontId="6" fillId="0" borderId="2" xfId="1" applyFont="1" applyBorder="1" applyAlignment="1">
      <alignment horizontal="center" vertical="center"/>
    </xf>
    <xf numFmtId="43" fontId="30" fillId="3" borderId="1" xfId="0" applyNumberFormat="1" applyFont="1" applyFill="1" applyBorder="1"/>
    <xf numFmtId="43" fontId="29" fillId="0" borderId="5" xfId="1" applyFont="1" applyFill="1" applyBorder="1" applyAlignment="1">
      <alignment horizontal="center" vertical="center"/>
    </xf>
    <xf numFmtId="43" fontId="6" fillId="0" borderId="0" xfId="1" applyFont="1" applyAlignment="1">
      <alignment horizontal="center"/>
    </xf>
    <xf numFmtId="43" fontId="8" fillId="0" borderId="0" xfId="0" applyNumberFormat="1" applyFont="1" applyAlignment="1">
      <alignment horizontal="center" vertical="center"/>
    </xf>
    <xf numFmtId="43" fontId="6" fillId="0" borderId="0" xfId="1" applyFont="1" applyFill="1" applyBorder="1"/>
    <xf numFmtId="43" fontId="24" fillId="0" borderId="0" xfId="5" applyNumberFormat="1" applyFont="1" applyAlignment="1">
      <alignment horizontal="center" vertical="center"/>
    </xf>
    <xf numFmtId="43" fontId="8" fillId="0" borderId="0" xfId="0" applyNumberFormat="1" applyFont="1" applyAlignment="1">
      <alignment horizontal="center" vertical="center" wrapText="1"/>
    </xf>
    <xf numFmtId="43" fontId="26" fillId="0" borderId="0" xfId="0" applyNumberFormat="1" applyFont="1" applyAlignment="1">
      <alignment horizontal="center" vertical="center"/>
    </xf>
    <xf numFmtId="43" fontId="27" fillId="0" borderId="0" xfId="0" applyNumberFormat="1" applyFont="1" applyAlignment="1">
      <alignment horizontal="center" vertical="center"/>
    </xf>
    <xf numFmtId="0" fontId="12" fillId="3" borderId="19" xfId="0" applyFont="1" applyFill="1" applyBorder="1" applyAlignment="1">
      <alignment horizontal="center" vertical="center" wrapText="1"/>
    </xf>
    <xf numFmtId="0" fontId="12" fillId="3" borderId="20" xfId="0" applyFont="1" applyFill="1" applyBorder="1" applyAlignment="1">
      <alignment horizontal="center" vertical="center" wrapText="1"/>
    </xf>
    <xf numFmtId="0" fontId="12" fillId="3" borderId="10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12" fillId="3" borderId="13" xfId="0" applyFont="1" applyFill="1" applyBorder="1" applyAlignment="1">
      <alignment horizontal="center" vertical="center" wrapText="1"/>
    </xf>
    <xf numFmtId="0" fontId="12" fillId="3" borderId="14" xfId="0" applyFont="1" applyFill="1" applyBorder="1" applyAlignment="1">
      <alignment horizontal="center" vertical="center" wrapText="1"/>
    </xf>
    <xf numFmtId="164" fontId="12" fillId="3" borderId="20" xfId="1" applyNumberFormat="1" applyFont="1" applyFill="1" applyBorder="1" applyAlignment="1">
      <alignment horizontal="center"/>
    </xf>
    <xf numFmtId="164" fontId="12" fillId="3" borderId="7" xfId="1" applyNumberFormat="1" applyFont="1" applyFill="1" applyBorder="1" applyAlignment="1">
      <alignment horizontal="center"/>
    </xf>
    <xf numFmtId="164" fontId="12" fillId="3" borderId="21" xfId="1" applyNumberFormat="1" applyFont="1" applyFill="1" applyBorder="1" applyAlignment="1">
      <alignment horizontal="center"/>
    </xf>
    <xf numFmtId="166" fontId="5" fillId="0" borderId="22" xfId="0" applyNumberFormat="1" applyFont="1" applyBorder="1" applyAlignment="1">
      <alignment horizontal="center" vertical="center"/>
    </xf>
    <xf numFmtId="166" fontId="5" fillId="0" borderId="10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43" fontId="5" fillId="0" borderId="6" xfId="1" applyFont="1" applyBorder="1" applyAlignment="1">
      <alignment horizontal="center" vertical="center"/>
    </xf>
    <xf numFmtId="43" fontId="5" fillId="0" borderId="2" xfId="1" applyFont="1" applyBorder="1" applyAlignment="1">
      <alignment horizontal="center" vertical="center"/>
    </xf>
    <xf numFmtId="43" fontId="5" fillId="0" borderId="6" xfId="1" applyFont="1" applyFill="1" applyBorder="1" applyAlignment="1">
      <alignment horizontal="center" vertical="center"/>
    </xf>
    <xf numFmtId="44" fontId="5" fillId="0" borderId="6" xfId="2" applyFont="1" applyFill="1" applyBorder="1" applyAlignment="1">
      <alignment horizontal="center" vertical="center"/>
    </xf>
    <xf numFmtId="44" fontId="5" fillId="0" borderId="23" xfId="2" applyFont="1" applyFill="1" applyBorder="1" applyAlignment="1">
      <alignment horizontal="center" vertical="center"/>
    </xf>
    <xf numFmtId="0" fontId="6" fillId="0" borderId="8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6" fillId="0" borderId="3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43" fontId="11" fillId="3" borderId="3" xfId="1" applyFont="1" applyFill="1" applyBorder="1" applyAlignment="1">
      <alignment horizontal="center" wrapText="1"/>
    </xf>
    <xf numFmtId="43" fontId="12" fillId="3" borderId="1" xfId="1" applyFont="1" applyFill="1" applyBorder="1" applyAlignment="1">
      <alignment horizontal="center" wrapText="1"/>
    </xf>
    <xf numFmtId="43" fontId="12" fillId="3" borderId="4" xfId="1" applyFont="1" applyFill="1" applyBorder="1" applyAlignment="1">
      <alignment horizontal="center" wrapText="1"/>
    </xf>
    <xf numFmtId="43" fontId="7" fillId="3" borderId="25" xfId="1" applyFont="1" applyFill="1" applyBorder="1" applyAlignment="1">
      <alignment horizontal="center"/>
    </xf>
    <xf numFmtId="43" fontId="7" fillId="3" borderId="26" xfId="1" applyFont="1" applyFill="1" applyBorder="1" applyAlignment="1">
      <alignment horizontal="center"/>
    </xf>
    <xf numFmtId="43" fontId="19" fillId="2" borderId="27" xfId="0" applyNumberFormat="1" applyFont="1" applyFill="1" applyBorder="1" applyAlignment="1">
      <alignment horizontal="left"/>
    </xf>
    <xf numFmtId="43" fontId="19" fillId="2" borderId="1" xfId="0" applyNumberFormat="1" applyFont="1" applyFill="1" applyBorder="1" applyAlignment="1">
      <alignment horizontal="left"/>
    </xf>
    <xf numFmtId="43" fontId="19" fillId="2" borderId="4" xfId="0" applyNumberFormat="1" applyFont="1" applyFill="1" applyBorder="1" applyAlignment="1">
      <alignment horizontal="left"/>
    </xf>
    <xf numFmtId="0" fontId="14" fillId="0" borderId="0" xfId="0" applyFont="1" applyAlignment="1">
      <alignment horizontal="left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20" fillId="5" borderId="29" xfId="0" applyFont="1" applyFill="1" applyBorder="1" applyAlignment="1">
      <alignment horizontal="center" vertical="center"/>
    </xf>
    <xf numFmtId="0" fontId="20" fillId="5" borderId="0" xfId="0" applyFont="1" applyFill="1" applyAlignment="1">
      <alignment horizontal="center" vertical="center"/>
    </xf>
    <xf numFmtId="0" fontId="12" fillId="5" borderId="29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4" fontId="9" fillId="2" borderId="2" xfId="2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44" fontId="28" fillId="5" borderId="2" xfId="2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5" fillId="2" borderId="16" xfId="0" applyFont="1" applyFill="1" applyBorder="1" applyAlignment="1">
      <alignment horizontal="center" vertical="center" wrapText="1"/>
    </xf>
    <xf numFmtId="0" fontId="15" fillId="2" borderId="12" xfId="0" applyFont="1" applyFill="1" applyBorder="1" applyAlignment="1">
      <alignment horizontal="center" vertical="center" wrapText="1"/>
    </xf>
    <xf numFmtId="0" fontId="15" fillId="2" borderId="17" xfId="0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/>
    </xf>
    <xf numFmtId="0" fontId="12" fillId="2" borderId="16" xfId="0" applyFont="1" applyFill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 wrapText="1"/>
    </xf>
    <xf numFmtId="0" fontId="12" fillId="2" borderId="17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4" xfId="0" applyFont="1" applyBorder="1" applyAlignment="1">
      <alignment horizontal="center" vertical="center"/>
    </xf>
  </cellXfs>
  <cellStyles count="9">
    <cellStyle name="Hyperlink" xfId="4" xr:uid="{A67E0F7F-E312-4D95-8355-7AE913D833F6}"/>
    <cellStyle name="Moeda" xfId="2" builtinId="4"/>
    <cellStyle name="Moeda 2" xfId="8" xr:uid="{6CB84A60-FEE8-43E8-8CE3-A966EB6CBD71}"/>
    <cellStyle name="Normal" xfId="0" builtinId="0"/>
    <cellStyle name="Normal 2" xfId="5" xr:uid="{ED6CAE08-B95D-40FF-84A3-46F64D6D97AD}"/>
    <cellStyle name="Porcentagem" xfId="6" builtinId="5"/>
    <cellStyle name="Vírgula" xfId="1" builtinId="3"/>
    <cellStyle name="Vírgula 2" xfId="7" xr:uid="{EC157827-6A5E-4C13-8DE6-76CDFA5645AB}"/>
    <cellStyle name="Vírgula 2 2" xfId="3" xr:uid="{BDCB1D99-9724-40C3-9E3F-F8A26BA58B7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AB27E0-A6E9-4147-A654-AA1D7EC00641}">
  <sheetPr>
    <pageSetUpPr fitToPage="1"/>
  </sheetPr>
  <dimension ref="A1:O148"/>
  <sheetViews>
    <sheetView topLeftCell="A100" zoomScale="120" zoomScaleNormal="120" workbookViewId="0">
      <pane xSplit="1" topLeftCell="B1" activePane="topRight" state="frozen"/>
      <selection pane="topRight" activeCell="A104" sqref="A104:J107"/>
    </sheetView>
  </sheetViews>
  <sheetFormatPr defaultColWidth="9.140625" defaultRowHeight="11.25" x14ac:dyDescent="0.2"/>
  <cols>
    <col min="1" max="1" width="6.140625" style="1" bestFit="1" customWidth="1"/>
    <col min="2" max="2" width="9.85546875" style="1" bestFit="1" customWidth="1"/>
    <col min="3" max="3" width="8.140625" style="1" bestFit="1" customWidth="1"/>
    <col min="4" max="4" width="42.7109375" style="1" bestFit="1" customWidth="1"/>
    <col min="5" max="5" width="7.7109375" style="1" customWidth="1"/>
    <col min="6" max="6" width="11.140625" style="3" bestFit="1" customWidth="1"/>
    <col min="7" max="7" width="10" style="26" bestFit="1" customWidth="1"/>
    <col min="8" max="8" width="12.42578125" style="29" bestFit="1" customWidth="1"/>
    <col min="9" max="9" width="10.28515625" style="30" bestFit="1" customWidth="1"/>
    <col min="10" max="10" width="13.7109375" style="1" bestFit="1" customWidth="1"/>
    <col min="11" max="11" width="9.140625" style="1"/>
    <col min="12" max="12" width="5.85546875" style="1" bestFit="1" customWidth="1"/>
    <col min="13" max="13" width="12.85546875" style="3" customWidth="1"/>
    <col min="14" max="14" width="41" style="1" bestFit="1" customWidth="1"/>
    <col min="15" max="15" width="15" style="1" customWidth="1"/>
    <col min="16" max="16" width="9.140625" style="1"/>
    <col min="17" max="17" width="10.5703125" style="1" bestFit="1" customWidth="1"/>
    <col min="18" max="16384" width="9.140625" style="1"/>
  </cols>
  <sheetData>
    <row r="1" spans="1:15" ht="24" customHeight="1" x14ac:dyDescent="0.25">
      <c r="A1" s="178" t="s">
        <v>0</v>
      </c>
      <c r="B1" s="179"/>
      <c r="C1" s="179"/>
      <c r="D1" s="179"/>
      <c r="E1" s="179"/>
      <c r="F1" s="184" t="s">
        <v>1</v>
      </c>
      <c r="G1" s="185"/>
      <c r="H1" s="185"/>
      <c r="I1" s="184"/>
      <c r="J1" s="186"/>
    </row>
    <row r="2" spans="1:15" ht="40.5" customHeight="1" x14ac:dyDescent="0.25">
      <c r="A2" s="180"/>
      <c r="B2" s="181"/>
      <c r="C2" s="181"/>
      <c r="D2" s="181"/>
      <c r="E2" s="181"/>
      <c r="F2" s="202" t="s">
        <v>262</v>
      </c>
      <c r="G2" s="203"/>
      <c r="H2" s="204"/>
      <c r="I2" s="126" t="s">
        <v>2</v>
      </c>
      <c r="J2" s="165">
        <v>0.28239999999999998</v>
      </c>
    </row>
    <row r="3" spans="1:15" ht="20.25" customHeight="1" thickBot="1" x14ac:dyDescent="0.25">
      <c r="A3" s="182"/>
      <c r="B3" s="183"/>
      <c r="C3" s="183"/>
      <c r="D3" s="183"/>
      <c r="E3" s="183"/>
      <c r="F3" s="205"/>
      <c r="G3" s="206"/>
      <c r="H3" s="38">
        <f>SUM(H7:H102)</f>
        <v>740299.00000000012</v>
      </c>
      <c r="I3" s="39"/>
      <c r="J3" s="40">
        <f>SUM(J8:J90,J93:J101)</f>
        <v>949345.32</v>
      </c>
      <c r="L3" s="81"/>
      <c r="N3" s="91"/>
      <c r="O3" s="92"/>
    </row>
    <row r="4" spans="1:15" ht="15" customHeight="1" x14ac:dyDescent="0.2">
      <c r="A4" s="187" t="s">
        <v>10</v>
      </c>
      <c r="B4" s="198" t="s">
        <v>57</v>
      </c>
      <c r="C4" s="199"/>
      <c r="D4" s="189" t="s">
        <v>3</v>
      </c>
      <c r="E4" s="191" t="s">
        <v>4</v>
      </c>
      <c r="F4" s="193" t="s">
        <v>5</v>
      </c>
      <c r="G4" s="195" t="s">
        <v>6</v>
      </c>
      <c r="H4" s="195"/>
      <c r="I4" s="196" t="s">
        <v>7</v>
      </c>
      <c r="J4" s="197"/>
    </row>
    <row r="5" spans="1:15" ht="23.25" customHeight="1" x14ac:dyDescent="0.2">
      <c r="A5" s="188"/>
      <c r="B5" s="200" t="s">
        <v>261</v>
      </c>
      <c r="C5" s="201"/>
      <c r="D5" s="190"/>
      <c r="E5" s="192"/>
      <c r="F5" s="194"/>
      <c r="G5" s="6" t="s">
        <v>8</v>
      </c>
      <c r="H5" s="6" t="s">
        <v>9</v>
      </c>
      <c r="I5" s="6" t="s">
        <v>8</v>
      </c>
      <c r="J5" s="16" t="s">
        <v>9</v>
      </c>
    </row>
    <row r="6" spans="1:15" x14ac:dyDescent="0.2">
      <c r="A6" s="17"/>
      <c r="B6" s="5"/>
      <c r="C6" s="5"/>
      <c r="D6" s="105"/>
      <c r="E6" s="37"/>
      <c r="F6" s="167"/>
      <c r="G6" s="37"/>
      <c r="H6" s="37"/>
      <c r="I6" s="2"/>
      <c r="J6" s="18"/>
    </row>
    <row r="7" spans="1:15" ht="12.75" x14ac:dyDescent="0.2">
      <c r="A7" s="24">
        <v>1</v>
      </c>
      <c r="B7" s="25"/>
      <c r="C7" s="127" t="s">
        <v>118</v>
      </c>
      <c r="D7" s="128"/>
      <c r="E7" s="128"/>
      <c r="F7" s="133"/>
      <c r="G7" s="128"/>
      <c r="H7" s="128"/>
      <c r="I7" s="128"/>
      <c r="J7" s="129"/>
    </row>
    <row r="8" spans="1:15" x14ac:dyDescent="0.2">
      <c r="A8" s="106" t="s">
        <v>33</v>
      </c>
      <c r="B8" s="93" t="s">
        <v>121</v>
      </c>
      <c r="C8" s="118" t="s">
        <v>56</v>
      </c>
      <c r="D8" s="121" t="s">
        <v>162</v>
      </c>
      <c r="E8" s="95" t="s">
        <v>32</v>
      </c>
      <c r="F8" s="2">
        <v>143.88999999999999</v>
      </c>
      <c r="G8" s="110">
        <v>1.8</v>
      </c>
      <c r="H8" s="2">
        <f t="shared" ref="H8:H12" si="0">ROUND((+F8*G8),2)</f>
        <v>259</v>
      </c>
      <c r="I8" s="2">
        <f t="shared" ref="I8:I59" si="1">ROUND((G8*$J$2)+G8,2)</f>
        <v>2.31</v>
      </c>
      <c r="J8" s="111">
        <f t="shared" ref="J8:J12" si="2">ROUND((F8*I8),2)</f>
        <v>332.39</v>
      </c>
      <c r="M8" s="86"/>
    </row>
    <row r="9" spans="1:15" x14ac:dyDescent="0.2">
      <c r="A9" s="106" t="s">
        <v>34</v>
      </c>
      <c r="B9" s="118" t="s">
        <v>119</v>
      </c>
      <c r="C9" s="118" t="s">
        <v>56</v>
      </c>
      <c r="D9" s="121" t="s">
        <v>120</v>
      </c>
      <c r="E9" s="118" t="s">
        <v>35</v>
      </c>
      <c r="F9" s="2">
        <v>83</v>
      </c>
      <c r="G9" s="110">
        <v>2.38</v>
      </c>
      <c r="H9" s="2">
        <f t="shared" si="0"/>
        <v>197.54</v>
      </c>
      <c r="I9" s="2">
        <f t="shared" ref="I9:I12" si="3">ROUND((G9*$J$2)+G9,2)</f>
        <v>3.05</v>
      </c>
      <c r="J9" s="111">
        <f t="shared" si="2"/>
        <v>253.15</v>
      </c>
      <c r="M9" s="86"/>
    </row>
    <row r="10" spans="1:15" x14ac:dyDescent="0.2">
      <c r="A10" s="106" t="s">
        <v>36</v>
      </c>
      <c r="B10" s="96" t="s">
        <v>124</v>
      </c>
      <c r="C10" s="96" t="s">
        <v>56</v>
      </c>
      <c r="D10" s="94" t="s">
        <v>123</v>
      </c>
      <c r="E10" s="98" t="s">
        <v>32</v>
      </c>
      <c r="F10" s="2">
        <f>SUM(3654*0.15)</f>
        <v>548.1</v>
      </c>
      <c r="G10" s="110">
        <v>4.63</v>
      </c>
      <c r="H10" s="2">
        <f t="shared" si="0"/>
        <v>2537.6999999999998</v>
      </c>
      <c r="I10" s="2">
        <f t="shared" si="3"/>
        <v>5.94</v>
      </c>
      <c r="J10" s="111">
        <f t="shared" si="2"/>
        <v>3255.71</v>
      </c>
      <c r="M10" s="86"/>
    </row>
    <row r="11" spans="1:15" ht="22.5" x14ac:dyDescent="0.2">
      <c r="A11" s="106" t="s">
        <v>42</v>
      </c>
      <c r="B11" s="96" t="s">
        <v>48</v>
      </c>
      <c r="C11" s="96" t="s">
        <v>56</v>
      </c>
      <c r="D11" s="97" t="s">
        <v>126</v>
      </c>
      <c r="E11" s="98" t="s">
        <v>35</v>
      </c>
      <c r="F11" s="168">
        <v>91.35</v>
      </c>
      <c r="G11" s="110">
        <v>21.2</v>
      </c>
      <c r="H11" s="2">
        <f t="shared" si="0"/>
        <v>1936.62</v>
      </c>
      <c r="I11" s="2">
        <f t="shared" si="3"/>
        <v>27.19</v>
      </c>
      <c r="J11" s="111">
        <f t="shared" si="2"/>
        <v>2483.81</v>
      </c>
    </row>
    <row r="12" spans="1:15" ht="22.5" x14ac:dyDescent="0.2">
      <c r="A12" s="106" t="s">
        <v>37</v>
      </c>
      <c r="B12" s="96" t="s">
        <v>125</v>
      </c>
      <c r="C12" s="96" t="s">
        <v>56</v>
      </c>
      <c r="D12" s="97" t="s">
        <v>151</v>
      </c>
      <c r="E12" s="98" t="s">
        <v>32</v>
      </c>
      <c r="F12" s="2">
        <v>548.1</v>
      </c>
      <c r="G12" s="110">
        <v>11.21</v>
      </c>
      <c r="H12" s="2">
        <f t="shared" si="0"/>
        <v>6144.2</v>
      </c>
      <c r="I12" s="2">
        <f t="shared" si="3"/>
        <v>14.38</v>
      </c>
      <c r="J12" s="111">
        <f t="shared" si="2"/>
        <v>7881.68</v>
      </c>
      <c r="M12" s="86"/>
    </row>
    <row r="13" spans="1:15" ht="22.5" x14ac:dyDescent="0.2">
      <c r="A13" s="106" t="s">
        <v>39</v>
      </c>
      <c r="B13" s="96" t="s">
        <v>177</v>
      </c>
      <c r="C13" s="96" t="s">
        <v>56</v>
      </c>
      <c r="D13" s="117" t="s">
        <v>289</v>
      </c>
      <c r="E13" s="98" t="s">
        <v>35</v>
      </c>
      <c r="F13" s="2">
        <v>27</v>
      </c>
      <c r="G13" s="112">
        <v>10.32</v>
      </c>
      <c r="H13" s="2">
        <f t="shared" ref="H13:H59" si="4">ROUND((+F13*G13),2)</f>
        <v>278.64</v>
      </c>
      <c r="I13" s="2">
        <f t="shared" si="1"/>
        <v>13.23</v>
      </c>
      <c r="J13" s="111">
        <f t="shared" ref="J13:J59" si="5">ROUND((F13*I13),2)</f>
        <v>357.21</v>
      </c>
      <c r="M13" s="86"/>
    </row>
    <row r="14" spans="1:15" x14ac:dyDescent="0.2">
      <c r="A14" s="106" t="s">
        <v>40</v>
      </c>
      <c r="B14" s="116">
        <v>38122</v>
      </c>
      <c r="C14" s="96" t="s">
        <v>56</v>
      </c>
      <c r="D14" s="97" t="s">
        <v>286</v>
      </c>
      <c r="E14" s="98" t="s">
        <v>283</v>
      </c>
      <c r="F14" s="2">
        <v>18</v>
      </c>
      <c r="G14" s="112">
        <v>19.600000000000001</v>
      </c>
      <c r="H14" s="2">
        <f t="shared" si="4"/>
        <v>352.8</v>
      </c>
      <c r="I14" s="2">
        <f t="shared" si="1"/>
        <v>25.14</v>
      </c>
      <c r="J14" s="111">
        <f t="shared" si="5"/>
        <v>452.52</v>
      </c>
      <c r="M14" s="86"/>
    </row>
    <row r="15" spans="1:15" x14ac:dyDescent="0.2">
      <c r="A15" s="106" t="s">
        <v>41</v>
      </c>
      <c r="B15" s="116">
        <v>5318</v>
      </c>
      <c r="C15" s="96" t="s">
        <v>56</v>
      </c>
      <c r="D15" s="97" t="s">
        <v>287</v>
      </c>
      <c r="E15" s="98" t="s">
        <v>283</v>
      </c>
      <c r="F15" s="2">
        <v>8</v>
      </c>
      <c r="G15" s="112">
        <v>60.31</v>
      </c>
      <c r="H15" s="2">
        <f t="shared" si="4"/>
        <v>482.48</v>
      </c>
      <c r="I15" s="2">
        <f t="shared" si="1"/>
        <v>77.34</v>
      </c>
      <c r="J15" s="111">
        <f t="shared" si="5"/>
        <v>618.72</v>
      </c>
      <c r="M15" s="86"/>
    </row>
    <row r="16" spans="1:15" x14ac:dyDescent="0.2">
      <c r="A16" s="106" t="s">
        <v>44</v>
      </c>
      <c r="B16" s="116">
        <v>140</v>
      </c>
      <c r="C16" s="96" t="s">
        <v>56</v>
      </c>
      <c r="D16" s="97" t="s">
        <v>290</v>
      </c>
      <c r="E16" s="98" t="s">
        <v>288</v>
      </c>
      <c r="F16" s="2">
        <v>18</v>
      </c>
      <c r="G16" s="112">
        <v>16.190000000000001</v>
      </c>
      <c r="H16" s="2">
        <f t="shared" si="4"/>
        <v>291.42</v>
      </c>
      <c r="I16" s="2">
        <f t="shared" si="1"/>
        <v>20.76</v>
      </c>
      <c r="J16" s="111">
        <f t="shared" si="5"/>
        <v>373.68</v>
      </c>
      <c r="M16" s="86"/>
    </row>
    <row r="17" spans="1:13" x14ac:dyDescent="0.2">
      <c r="A17" s="106" t="s">
        <v>110</v>
      </c>
      <c r="B17" s="116">
        <v>7353</v>
      </c>
      <c r="C17" s="96" t="s">
        <v>56</v>
      </c>
      <c r="D17" s="122" t="s">
        <v>285</v>
      </c>
      <c r="E17" s="98" t="s">
        <v>283</v>
      </c>
      <c r="F17" s="2">
        <v>8</v>
      </c>
      <c r="G17" s="112">
        <v>25.68</v>
      </c>
      <c r="H17" s="2">
        <f t="shared" si="4"/>
        <v>205.44</v>
      </c>
      <c r="I17" s="2">
        <f t="shared" si="1"/>
        <v>32.93</v>
      </c>
      <c r="J17" s="111">
        <f t="shared" si="5"/>
        <v>263.44</v>
      </c>
      <c r="M17" s="86"/>
    </row>
    <row r="18" spans="1:13" ht="22.5" x14ac:dyDescent="0.2">
      <c r="A18" s="106" t="s">
        <v>111</v>
      </c>
      <c r="B18" s="93" t="s">
        <v>152</v>
      </c>
      <c r="C18" s="93" t="s">
        <v>56</v>
      </c>
      <c r="D18" s="94" t="s">
        <v>222</v>
      </c>
      <c r="E18" s="95" t="s">
        <v>32</v>
      </c>
      <c r="F18" s="2">
        <v>187.95</v>
      </c>
      <c r="G18" s="112">
        <v>45.2</v>
      </c>
      <c r="H18" s="2">
        <f t="shared" si="4"/>
        <v>8495.34</v>
      </c>
      <c r="I18" s="2">
        <f t="shared" si="1"/>
        <v>57.96</v>
      </c>
      <c r="J18" s="111">
        <f t="shared" si="5"/>
        <v>10893.58</v>
      </c>
      <c r="M18" s="86"/>
    </row>
    <row r="19" spans="1:13" ht="22.5" x14ac:dyDescent="0.2">
      <c r="A19" s="106" t="s">
        <v>112</v>
      </c>
      <c r="B19" s="96" t="s">
        <v>127</v>
      </c>
      <c r="C19" s="96" t="s">
        <v>56</v>
      </c>
      <c r="D19" s="117" t="s">
        <v>221</v>
      </c>
      <c r="E19" s="98" t="s">
        <v>35</v>
      </c>
      <c r="F19" s="2">
        <v>157.03</v>
      </c>
      <c r="G19" s="112">
        <v>73.06</v>
      </c>
      <c r="H19" s="2">
        <f t="shared" si="4"/>
        <v>11472.61</v>
      </c>
      <c r="I19" s="2">
        <f t="shared" si="1"/>
        <v>93.69</v>
      </c>
      <c r="J19" s="111">
        <f t="shared" si="5"/>
        <v>14712.14</v>
      </c>
      <c r="M19" s="86"/>
    </row>
    <row r="20" spans="1:13" ht="22.5" x14ac:dyDescent="0.2">
      <c r="A20" s="106" t="s">
        <v>113</v>
      </c>
      <c r="B20" s="96" t="s">
        <v>48</v>
      </c>
      <c r="C20" s="96" t="s">
        <v>56</v>
      </c>
      <c r="D20" s="136" t="s">
        <v>171</v>
      </c>
      <c r="E20" s="98" t="s">
        <v>35</v>
      </c>
      <c r="F20" s="168">
        <v>7</v>
      </c>
      <c r="G20" s="112">
        <v>19.510000000000002</v>
      </c>
      <c r="H20" s="2">
        <f t="shared" si="4"/>
        <v>136.57</v>
      </c>
      <c r="I20" s="2">
        <f t="shared" si="1"/>
        <v>25.02</v>
      </c>
      <c r="J20" s="111">
        <f t="shared" si="5"/>
        <v>175.14</v>
      </c>
    </row>
    <row r="21" spans="1:13" ht="33.75" x14ac:dyDescent="0.2">
      <c r="A21" s="106" t="s">
        <v>114</v>
      </c>
      <c r="B21" s="96" t="s">
        <v>153</v>
      </c>
      <c r="C21" s="96" t="s">
        <v>56</v>
      </c>
      <c r="D21" s="97" t="s">
        <v>154</v>
      </c>
      <c r="E21" s="98" t="s">
        <v>32</v>
      </c>
      <c r="F21" s="2">
        <v>34.29</v>
      </c>
      <c r="G21" s="112">
        <v>8.15</v>
      </c>
      <c r="H21" s="2">
        <f t="shared" si="4"/>
        <v>279.45999999999998</v>
      </c>
      <c r="I21" s="2">
        <f t="shared" si="1"/>
        <v>10.45</v>
      </c>
      <c r="J21" s="111">
        <f t="shared" si="5"/>
        <v>358.33</v>
      </c>
      <c r="M21" s="86"/>
    </row>
    <row r="22" spans="1:13" ht="33.75" x14ac:dyDescent="0.2">
      <c r="A22" s="106" t="s">
        <v>115</v>
      </c>
      <c r="B22" s="96" t="s">
        <v>155</v>
      </c>
      <c r="C22" s="96" t="s">
        <v>56</v>
      </c>
      <c r="D22" s="117" t="s">
        <v>156</v>
      </c>
      <c r="E22" s="98" t="s">
        <v>32</v>
      </c>
      <c r="F22" s="2">
        <f>+(30.17*2)+(45.56*2)+17.37</f>
        <v>168.83</v>
      </c>
      <c r="G22" s="112">
        <v>1.88</v>
      </c>
      <c r="H22" s="2">
        <f t="shared" si="4"/>
        <v>317.39999999999998</v>
      </c>
      <c r="I22" s="2">
        <f t="shared" ref="I22" si="6">ROUND((G22*$J$2)+G22,2)</f>
        <v>2.41</v>
      </c>
      <c r="J22" s="111">
        <f t="shared" ref="J22" si="7">ROUND((F22*I22),2)</f>
        <v>406.88</v>
      </c>
      <c r="M22" s="86"/>
    </row>
    <row r="23" spans="1:13" ht="22.5" x14ac:dyDescent="0.2">
      <c r="A23" s="106" t="s">
        <v>140</v>
      </c>
      <c r="B23" s="96" t="s">
        <v>48</v>
      </c>
      <c r="C23" s="96" t="s">
        <v>56</v>
      </c>
      <c r="D23" s="117" t="s">
        <v>223</v>
      </c>
      <c r="E23" s="98" t="s">
        <v>35</v>
      </c>
      <c r="F23" s="2">
        <v>7.5</v>
      </c>
      <c r="G23" s="112">
        <v>2.88</v>
      </c>
      <c r="H23" s="2">
        <f t="shared" ref="H23" si="8">ROUND((+F23*G23),2)</f>
        <v>21.6</v>
      </c>
      <c r="I23" s="2">
        <f t="shared" ref="I23" si="9">ROUND((G23*$J$2)+G23,2)</f>
        <v>3.69</v>
      </c>
      <c r="J23" s="111">
        <f t="shared" ref="J23" si="10">ROUND((F23*I23),2)</f>
        <v>27.68</v>
      </c>
      <c r="M23" s="86"/>
    </row>
    <row r="24" spans="1:13" ht="33.75" x14ac:dyDescent="0.2">
      <c r="A24" s="106" t="s">
        <v>141</v>
      </c>
      <c r="B24" s="96" t="s">
        <v>122</v>
      </c>
      <c r="C24" s="119" t="s">
        <v>56</v>
      </c>
      <c r="D24" s="136" t="s">
        <v>274</v>
      </c>
      <c r="E24" s="98" t="s">
        <v>32</v>
      </c>
      <c r="F24" s="2">
        <f>56.54+11.88</f>
        <v>68.42</v>
      </c>
      <c r="G24" s="112">
        <v>14.94</v>
      </c>
      <c r="H24" s="2">
        <f t="shared" ref="H24" si="11">ROUND((+F24*G24),2)</f>
        <v>1022.19</v>
      </c>
      <c r="I24" s="2">
        <f t="shared" ref="I24" si="12">ROUND((G24*$J$2)+G24,2)</f>
        <v>19.16</v>
      </c>
      <c r="J24" s="111">
        <f t="shared" ref="J24" si="13">ROUND((F24*I24),2)</f>
        <v>1310.93</v>
      </c>
      <c r="M24" s="86"/>
    </row>
    <row r="25" spans="1:13" ht="22.5" x14ac:dyDescent="0.2">
      <c r="A25" s="106" t="s">
        <v>142</v>
      </c>
      <c r="B25" s="116" t="s">
        <v>195</v>
      </c>
      <c r="C25" s="120"/>
      <c r="D25" s="122" t="s">
        <v>158</v>
      </c>
      <c r="E25" s="95" t="s">
        <v>32</v>
      </c>
      <c r="F25" s="2">
        <f>33.44+23.1+11.88</f>
        <v>68.42</v>
      </c>
      <c r="G25" s="112">
        <v>33.51</v>
      </c>
      <c r="H25" s="2">
        <f t="shared" ref="H25" si="14">ROUND((+F25*G25),2)</f>
        <v>2292.75</v>
      </c>
      <c r="I25" s="2">
        <f t="shared" ref="I25" si="15">ROUND((G25*$J$2)+G25,2)</f>
        <v>42.97</v>
      </c>
      <c r="J25" s="111">
        <f t="shared" ref="J25" si="16">ROUND((F25*I25),2)</f>
        <v>2940.01</v>
      </c>
      <c r="M25" s="86"/>
    </row>
    <row r="26" spans="1:13" ht="33.75" x14ac:dyDescent="0.2">
      <c r="A26" s="106" t="s">
        <v>143</v>
      </c>
      <c r="B26" s="163">
        <v>101966</v>
      </c>
      <c r="C26" s="93" t="s">
        <v>56</v>
      </c>
      <c r="D26" s="122" t="s">
        <v>307</v>
      </c>
      <c r="E26" s="95" t="s">
        <v>35</v>
      </c>
      <c r="F26" s="2">
        <f>3.3+3.3+3.75+3.75+2.7+3.3+3.3</f>
        <v>23.400000000000002</v>
      </c>
      <c r="G26" s="112">
        <v>127.29</v>
      </c>
      <c r="H26" s="2">
        <f t="shared" ref="H26:H29" si="17">ROUND((+F26*G26),2)</f>
        <v>2978.59</v>
      </c>
      <c r="I26" s="2">
        <f t="shared" ref="I26:I29" si="18">ROUND((G26*$J$2)+G26,2)</f>
        <v>163.24</v>
      </c>
      <c r="J26" s="111">
        <f t="shared" ref="J26:J29" si="19">ROUND((F26*I26),2)</f>
        <v>3819.82</v>
      </c>
      <c r="M26" s="86"/>
    </row>
    <row r="27" spans="1:13" ht="45" x14ac:dyDescent="0.2">
      <c r="A27" s="106" t="s">
        <v>144</v>
      </c>
      <c r="B27" s="93" t="s">
        <v>157</v>
      </c>
      <c r="C27" s="93" t="s">
        <v>56</v>
      </c>
      <c r="D27" s="94" t="s">
        <v>165</v>
      </c>
      <c r="E27" s="95" t="s">
        <v>32</v>
      </c>
      <c r="F27" s="2">
        <f>21.56+5.94+5.94+11.88</f>
        <v>45.32</v>
      </c>
      <c r="G27" s="112">
        <v>88.57</v>
      </c>
      <c r="H27" s="2">
        <f t="shared" si="17"/>
        <v>4013.99</v>
      </c>
      <c r="I27" s="2">
        <f t="shared" si="18"/>
        <v>113.58</v>
      </c>
      <c r="J27" s="111">
        <f t="shared" si="19"/>
        <v>5147.45</v>
      </c>
      <c r="M27" s="86"/>
    </row>
    <row r="28" spans="1:13" ht="45" x14ac:dyDescent="0.2">
      <c r="A28" s="106" t="s">
        <v>145</v>
      </c>
      <c r="B28" s="93" t="s">
        <v>157</v>
      </c>
      <c r="C28" s="93" t="s">
        <v>56</v>
      </c>
      <c r="D28" s="94" t="s">
        <v>166</v>
      </c>
      <c r="E28" s="95" t="s">
        <v>32</v>
      </c>
      <c r="F28" s="2">
        <v>23.1</v>
      </c>
      <c r="G28" s="112">
        <v>88.57</v>
      </c>
      <c r="H28" s="2">
        <f t="shared" si="17"/>
        <v>2045.97</v>
      </c>
      <c r="I28" s="2">
        <f t="shared" si="18"/>
        <v>113.58</v>
      </c>
      <c r="J28" s="111">
        <f t="shared" si="19"/>
        <v>2623.7</v>
      </c>
      <c r="M28" s="86"/>
    </row>
    <row r="29" spans="1:13" ht="45" x14ac:dyDescent="0.2">
      <c r="A29" s="106" t="s">
        <v>291</v>
      </c>
      <c r="B29" s="93" t="s">
        <v>275</v>
      </c>
      <c r="C29" s="93" t="s">
        <v>56</v>
      </c>
      <c r="D29" s="141" t="s">
        <v>278</v>
      </c>
      <c r="E29" s="95" t="s">
        <v>32</v>
      </c>
      <c r="F29" s="2">
        <f>1.97+1.14+1.32</f>
        <v>4.43</v>
      </c>
      <c r="G29" s="139">
        <v>78.25</v>
      </c>
      <c r="H29" s="2">
        <f t="shared" si="17"/>
        <v>346.65</v>
      </c>
      <c r="I29" s="138">
        <f t="shared" si="18"/>
        <v>100.35</v>
      </c>
      <c r="J29" s="111">
        <f t="shared" si="19"/>
        <v>444.55</v>
      </c>
      <c r="M29" s="86"/>
    </row>
    <row r="30" spans="1:13" ht="22.5" x14ac:dyDescent="0.2">
      <c r="A30" s="106" t="s">
        <v>292</v>
      </c>
      <c r="B30" s="93" t="s">
        <v>276</v>
      </c>
      <c r="C30" s="137" t="s">
        <v>56</v>
      </c>
      <c r="D30" s="141" t="s">
        <v>277</v>
      </c>
      <c r="E30" s="95" t="s">
        <v>32</v>
      </c>
      <c r="F30" s="2">
        <v>2.0699999999999998</v>
      </c>
      <c r="G30" s="139">
        <v>154.5</v>
      </c>
      <c r="H30" s="2">
        <f t="shared" ref="H30" si="20">ROUND((+F30*G30),2)</f>
        <v>319.82</v>
      </c>
      <c r="I30" s="138">
        <f t="shared" ref="I30" si="21">ROUND((G30*$J$2)+G30,2)</f>
        <v>198.13</v>
      </c>
      <c r="J30" s="111">
        <f t="shared" ref="J30" si="22">ROUND((F30*I30),2)</f>
        <v>410.13</v>
      </c>
      <c r="M30" s="86"/>
    </row>
    <row r="31" spans="1:13" ht="12.75" x14ac:dyDescent="0.2">
      <c r="A31" s="24">
        <v>2</v>
      </c>
      <c r="B31" s="25"/>
      <c r="C31" s="127" t="s">
        <v>172</v>
      </c>
      <c r="D31" s="128"/>
      <c r="E31" s="128"/>
      <c r="F31" s="133"/>
      <c r="G31" s="128"/>
      <c r="H31" s="128"/>
      <c r="I31" s="128"/>
      <c r="J31" s="129"/>
    </row>
    <row r="32" spans="1:13" ht="22.5" x14ac:dyDescent="0.2">
      <c r="A32" s="106" t="s">
        <v>16</v>
      </c>
      <c r="B32" s="96" t="s">
        <v>122</v>
      </c>
      <c r="C32" s="96" t="s">
        <v>56</v>
      </c>
      <c r="D32" s="117" t="s">
        <v>198</v>
      </c>
      <c r="E32" s="98" t="s">
        <v>32</v>
      </c>
      <c r="F32" s="2">
        <f>130.79+130.79+313.37</f>
        <v>574.95000000000005</v>
      </c>
      <c r="G32" s="112">
        <v>14.94</v>
      </c>
      <c r="H32" s="2">
        <f t="shared" si="4"/>
        <v>8589.75</v>
      </c>
      <c r="I32" s="2">
        <f t="shared" si="1"/>
        <v>19.16</v>
      </c>
      <c r="J32" s="111">
        <f t="shared" si="5"/>
        <v>11016.04</v>
      </c>
      <c r="M32" s="86"/>
    </row>
    <row r="33" spans="1:13" ht="22.5" x14ac:dyDescent="0.2">
      <c r="A33" s="106" t="s">
        <v>18</v>
      </c>
      <c r="B33" s="96" t="s">
        <v>137</v>
      </c>
      <c r="C33" s="96" t="s">
        <v>56</v>
      </c>
      <c r="D33" s="97" t="s">
        <v>159</v>
      </c>
      <c r="E33" s="98" t="s">
        <v>35</v>
      </c>
      <c r="F33" s="2">
        <f>25.06+25.06+1.52+1.52+6.65+6.65+3.7+3.7+3.7+3.7+3.7+3.7+3.7+3.7+25.39</f>
        <v>121.45000000000003</v>
      </c>
      <c r="G33" s="112">
        <v>2.46</v>
      </c>
      <c r="H33" s="2">
        <f t="shared" si="4"/>
        <v>298.77</v>
      </c>
      <c r="I33" s="2">
        <f t="shared" si="1"/>
        <v>3.15</v>
      </c>
      <c r="J33" s="111">
        <f t="shared" si="5"/>
        <v>382.57</v>
      </c>
      <c r="M33" s="86"/>
    </row>
    <row r="34" spans="1:13" ht="22.5" x14ac:dyDescent="0.2">
      <c r="A34" s="106" t="s">
        <v>20</v>
      </c>
      <c r="B34" s="96" t="s">
        <v>128</v>
      </c>
      <c r="C34" s="96" t="s">
        <v>56</v>
      </c>
      <c r="D34" s="117" t="s">
        <v>224</v>
      </c>
      <c r="E34" s="98" t="s">
        <v>32</v>
      </c>
      <c r="F34" s="2">
        <f>5.63+5.63+1.57+1.57+1.1+1.1+1.1+1.1+1.1+1.1+1.1+1.1</f>
        <v>23.20000000000001</v>
      </c>
      <c r="G34" s="112">
        <v>16.010000000000002</v>
      </c>
      <c r="H34" s="2">
        <f t="shared" si="4"/>
        <v>371.43</v>
      </c>
      <c r="I34" s="2">
        <f t="shared" si="1"/>
        <v>20.53</v>
      </c>
      <c r="J34" s="111">
        <f t="shared" si="5"/>
        <v>476.3</v>
      </c>
      <c r="M34" s="86"/>
    </row>
    <row r="35" spans="1:13" ht="33.75" x14ac:dyDescent="0.2">
      <c r="A35" s="106" t="s">
        <v>51</v>
      </c>
      <c r="B35" s="96" t="s">
        <v>128</v>
      </c>
      <c r="C35" s="96" t="s">
        <v>56</v>
      </c>
      <c r="D35" s="117" t="s">
        <v>160</v>
      </c>
      <c r="E35" s="98" t="s">
        <v>161</v>
      </c>
      <c r="F35" s="2">
        <v>27.34</v>
      </c>
      <c r="G35" s="112">
        <v>137.29</v>
      </c>
      <c r="H35" s="2">
        <f t="shared" si="4"/>
        <v>3753.51</v>
      </c>
      <c r="I35" s="2">
        <f t="shared" si="1"/>
        <v>176.06</v>
      </c>
      <c r="J35" s="111">
        <f t="shared" si="5"/>
        <v>4813.4799999999996</v>
      </c>
      <c r="M35" s="86"/>
    </row>
    <row r="36" spans="1:13" x14ac:dyDescent="0.2">
      <c r="A36" s="106" t="s">
        <v>52</v>
      </c>
      <c r="B36" s="116">
        <v>99811</v>
      </c>
      <c r="C36" s="96" t="s">
        <v>56</v>
      </c>
      <c r="D36" s="117" t="s">
        <v>225</v>
      </c>
      <c r="E36" s="98" t="s">
        <v>32</v>
      </c>
      <c r="F36" s="2">
        <v>455.61</v>
      </c>
      <c r="G36" s="112">
        <v>3.26</v>
      </c>
      <c r="H36" s="2">
        <f t="shared" ref="H36" si="23">ROUND((+F36*G36),2)</f>
        <v>1485.29</v>
      </c>
      <c r="I36" s="2">
        <f t="shared" ref="I36" si="24">ROUND((G36*$J$2)+G36,2)</f>
        <v>4.18</v>
      </c>
      <c r="J36" s="111">
        <f t="shared" ref="J36" si="25">ROUND((F36*I36),2)</f>
        <v>1904.45</v>
      </c>
      <c r="M36" s="86"/>
    </row>
    <row r="37" spans="1:13" ht="22.5" x14ac:dyDescent="0.2">
      <c r="A37" s="106" t="s">
        <v>85</v>
      </c>
      <c r="B37" s="96" t="s">
        <v>163</v>
      </c>
      <c r="C37" s="96" t="s">
        <v>56</v>
      </c>
      <c r="D37" s="117" t="s">
        <v>164</v>
      </c>
      <c r="E37" s="98" t="s">
        <v>32</v>
      </c>
      <c r="F37" s="2">
        <v>455.61</v>
      </c>
      <c r="G37" s="112">
        <v>56.48</v>
      </c>
      <c r="H37" s="2">
        <f t="shared" si="4"/>
        <v>25732.85</v>
      </c>
      <c r="I37" s="2">
        <f t="shared" si="1"/>
        <v>72.430000000000007</v>
      </c>
      <c r="J37" s="111">
        <f t="shared" si="5"/>
        <v>32999.83</v>
      </c>
      <c r="M37" s="86"/>
    </row>
    <row r="38" spans="1:13" ht="22.5" x14ac:dyDescent="0.2">
      <c r="A38" s="106" t="s">
        <v>87</v>
      </c>
      <c r="B38" s="116">
        <v>7353</v>
      </c>
      <c r="C38" s="96" t="s">
        <v>56</v>
      </c>
      <c r="D38" s="122" t="s">
        <v>284</v>
      </c>
      <c r="E38" s="98" t="s">
        <v>283</v>
      </c>
      <c r="F38" s="2">
        <v>14</v>
      </c>
      <c r="G38" s="112">
        <v>25.68</v>
      </c>
      <c r="H38" s="2">
        <f>ROUND((+F38*G38),2)</f>
        <v>359.52</v>
      </c>
      <c r="I38" s="2">
        <f>ROUND((G38*$J$2)+G38,2)</f>
        <v>32.93</v>
      </c>
      <c r="J38" s="111">
        <f>ROUND((F38*I38),2)</f>
        <v>461.02</v>
      </c>
      <c r="M38" s="86"/>
    </row>
    <row r="39" spans="1:13" ht="22.5" x14ac:dyDescent="0.2">
      <c r="A39" s="106" t="s">
        <v>89</v>
      </c>
      <c r="B39" s="93" t="s">
        <v>152</v>
      </c>
      <c r="C39" s="93" t="s">
        <v>56</v>
      </c>
      <c r="D39" s="123" t="s">
        <v>226</v>
      </c>
      <c r="E39" s="95" t="s">
        <v>32</v>
      </c>
      <c r="F39" s="2">
        <v>574.95000000000005</v>
      </c>
      <c r="G39" s="112">
        <v>45.2</v>
      </c>
      <c r="H39" s="2">
        <f t="shared" ref="H39:H40" si="26">ROUND((+F39*G39),2)</f>
        <v>25987.74</v>
      </c>
      <c r="I39" s="2">
        <f t="shared" ref="I39:I40" si="27">ROUND((G39*$J$2)+G39,2)</f>
        <v>57.96</v>
      </c>
      <c r="J39" s="111">
        <f t="shared" ref="J39:J40" si="28">ROUND((F39*I39),2)</f>
        <v>33324.1</v>
      </c>
      <c r="M39" s="86"/>
    </row>
    <row r="40" spans="1:13" ht="22.5" x14ac:dyDescent="0.2">
      <c r="A40" s="106" t="s">
        <v>91</v>
      </c>
      <c r="B40" s="96" t="s">
        <v>122</v>
      </c>
      <c r="C40" s="119" t="s">
        <v>56</v>
      </c>
      <c r="D40" s="117" t="s">
        <v>306</v>
      </c>
      <c r="E40" s="98" t="s">
        <v>32</v>
      </c>
      <c r="F40" s="2">
        <v>42.44</v>
      </c>
      <c r="G40" s="112">
        <v>14.94</v>
      </c>
      <c r="H40" s="2">
        <f t="shared" si="26"/>
        <v>634.04999999999995</v>
      </c>
      <c r="I40" s="2">
        <f t="shared" si="27"/>
        <v>19.16</v>
      </c>
      <c r="J40" s="111">
        <f t="shared" si="28"/>
        <v>813.15</v>
      </c>
      <c r="M40" s="86"/>
    </row>
    <row r="41" spans="1:13" x14ac:dyDescent="0.2">
      <c r="A41" s="106" t="s">
        <v>93</v>
      </c>
      <c r="B41" s="116">
        <v>98685</v>
      </c>
      <c r="C41" s="119" t="s">
        <v>56</v>
      </c>
      <c r="D41" s="97" t="s">
        <v>168</v>
      </c>
      <c r="E41" s="98" t="s">
        <v>35</v>
      </c>
      <c r="F41" s="2">
        <v>121.45</v>
      </c>
      <c r="G41" s="112">
        <v>55.62</v>
      </c>
      <c r="H41" s="2">
        <f t="shared" ref="H41:H56" si="29">ROUND((+F41*G41),2)</f>
        <v>6755.05</v>
      </c>
      <c r="I41" s="2">
        <f t="shared" ref="I41:I56" si="30">ROUND((G41*$J$2)+G41,2)</f>
        <v>71.33</v>
      </c>
      <c r="J41" s="111">
        <f t="shared" ref="J41:J56" si="31">ROUND((F41*I41),2)</f>
        <v>8663.0300000000007</v>
      </c>
      <c r="M41" s="86"/>
    </row>
    <row r="42" spans="1:13" x14ac:dyDescent="0.2">
      <c r="A42" s="106" t="s">
        <v>130</v>
      </c>
      <c r="B42" s="96" t="s">
        <v>175</v>
      </c>
      <c r="C42" s="96" t="s">
        <v>56</v>
      </c>
      <c r="D42" s="135" t="s">
        <v>279</v>
      </c>
      <c r="E42" s="98" t="s">
        <v>32</v>
      </c>
      <c r="F42" s="168">
        <v>42.44</v>
      </c>
      <c r="G42" s="112">
        <v>5.33</v>
      </c>
      <c r="H42" s="2">
        <f t="shared" si="29"/>
        <v>226.21</v>
      </c>
      <c r="I42" s="2">
        <f t="shared" si="30"/>
        <v>6.84</v>
      </c>
      <c r="J42" s="111">
        <f t="shared" si="31"/>
        <v>290.29000000000002</v>
      </c>
      <c r="M42" s="86"/>
    </row>
    <row r="43" spans="1:13" x14ac:dyDescent="0.2">
      <c r="A43" s="106" t="s">
        <v>138</v>
      </c>
      <c r="B43" s="96" t="s">
        <v>280</v>
      </c>
      <c r="C43" s="96" t="s">
        <v>56</v>
      </c>
      <c r="D43" s="135" t="s">
        <v>169</v>
      </c>
      <c r="E43" s="98" t="s">
        <v>32</v>
      </c>
      <c r="F43" s="168">
        <v>42.44</v>
      </c>
      <c r="G43" s="112">
        <v>30.72</v>
      </c>
      <c r="H43" s="2">
        <f t="shared" ref="H43" si="32">ROUND((+F43*G43),2)</f>
        <v>1303.76</v>
      </c>
      <c r="I43" s="2">
        <f t="shared" ref="I43" si="33">ROUND((G43*$J$2)+G43,2)</f>
        <v>39.4</v>
      </c>
      <c r="J43" s="111">
        <f t="shared" ref="J43" si="34">ROUND((F43*I43),2)</f>
        <v>1672.14</v>
      </c>
    </row>
    <row r="44" spans="1:13" ht="22.5" x14ac:dyDescent="0.2">
      <c r="A44" s="106" t="s">
        <v>146</v>
      </c>
      <c r="B44" s="96" t="s">
        <v>48</v>
      </c>
      <c r="C44" s="96" t="s">
        <v>56</v>
      </c>
      <c r="D44" s="117" t="s">
        <v>170</v>
      </c>
      <c r="E44" s="98" t="s">
        <v>35</v>
      </c>
      <c r="F44" s="2">
        <v>10</v>
      </c>
      <c r="G44" s="112">
        <v>21.2</v>
      </c>
      <c r="H44" s="2">
        <f t="shared" si="29"/>
        <v>212</v>
      </c>
      <c r="I44" s="2">
        <f t="shared" si="30"/>
        <v>27.19</v>
      </c>
      <c r="J44" s="111">
        <f t="shared" si="31"/>
        <v>271.89999999999998</v>
      </c>
      <c r="M44" s="86"/>
    </row>
    <row r="45" spans="1:13" ht="12.75" x14ac:dyDescent="0.2">
      <c r="A45" s="24">
        <v>3</v>
      </c>
      <c r="B45" s="25"/>
      <c r="C45" s="127" t="s">
        <v>183</v>
      </c>
      <c r="D45" s="128"/>
      <c r="E45" s="128"/>
      <c r="F45" s="133"/>
      <c r="G45" s="128"/>
      <c r="H45" s="128"/>
      <c r="I45" s="128"/>
      <c r="J45" s="129"/>
    </row>
    <row r="46" spans="1:13" x14ac:dyDescent="0.2">
      <c r="A46" s="106" t="s">
        <v>23</v>
      </c>
      <c r="B46" s="96" t="s">
        <v>175</v>
      </c>
      <c r="C46" s="96" t="s">
        <v>56</v>
      </c>
      <c r="D46" s="97" t="s">
        <v>176</v>
      </c>
      <c r="E46" s="95" t="s">
        <v>32</v>
      </c>
      <c r="F46" s="2">
        <f>+(63.03+20.85+4.53)+(88.82*2)+(9.27*2)+(300.01*2)+4</f>
        <v>888.6099999999999</v>
      </c>
      <c r="G46" s="107">
        <v>5.33</v>
      </c>
      <c r="H46" s="22">
        <f t="shared" ref="H46" si="35">ROUND((+F46*G46),2)</f>
        <v>4736.29</v>
      </c>
      <c r="I46" s="2">
        <f t="shared" ref="I46" si="36">ROUND((G46*$J$2)+G46,2)</f>
        <v>6.84</v>
      </c>
      <c r="J46" s="23">
        <f t="shared" ref="J46" si="37">ROUND((F46*I46),2)</f>
        <v>6078.09</v>
      </c>
      <c r="M46" s="86"/>
    </row>
    <row r="47" spans="1:13" ht="22.5" x14ac:dyDescent="0.2">
      <c r="A47" s="106" t="s">
        <v>25</v>
      </c>
      <c r="B47" s="96" t="s">
        <v>177</v>
      </c>
      <c r="C47" s="96" t="s">
        <v>56</v>
      </c>
      <c r="D47" s="117" t="s">
        <v>289</v>
      </c>
      <c r="E47" s="98" t="s">
        <v>35</v>
      </c>
      <c r="F47" s="2">
        <v>54</v>
      </c>
      <c r="G47" s="112">
        <v>10.32</v>
      </c>
      <c r="H47" s="22">
        <f t="shared" ref="H47:H50" si="38">ROUND((+F47*G47),2)</f>
        <v>557.28</v>
      </c>
      <c r="I47" s="2">
        <f t="shared" ref="I47:I50" si="39">ROUND((G47*$J$2)+G47,2)</f>
        <v>13.23</v>
      </c>
      <c r="J47" s="23">
        <f t="shared" ref="J47:J50" si="40">ROUND((F47*I47),2)</f>
        <v>714.42</v>
      </c>
      <c r="M47" s="115"/>
    </row>
    <row r="48" spans="1:13" x14ac:dyDescent="0.2">
      <c r="A48" s="106" t="s">
        <v>53</v>
      </c>
      <c r="B48" s="116">
        <v>38122</v>
      </c>
      <c r="C48" s="96" t="s">
        <v>56</v>
      </c>
      <c r="D48" s="97" t="s">
        <v>286</v>
      </c>
      <c r="E48" s="98" t="s">
        <v>283</v>
      </c>
      <c r="F48" s="2">
        <v>36</v>
      </c>
      <c r="G48" s="112">
        <v>19.600000000000001</v>
      </c>
      <c r="H48" s="22">
        <f t="shared" si="38"/>
        <v>705.6</v>
      </c>
      <c r="I48" s="2">
        <f t="shared" si="39"/>
        <v>25.14</v>
      </c>
      <c r="J48" s="23">
        <f t="shared" si="40"/>
        <v>905.04</v>
      </c>
      <c r="M48" s="115"/>
    </row>
    <row r="49" spans="1:13" x14ac:dyDescent="0.2">
      <c r="A49" s="106" t="s">
        <v>100</v>
      </c>
      <c r="B49" s="116">
        <v>5318</v>
      </c>
      <c r="C49" s="96" t="s">
        <v>56</v>
      </c>
      <c r="D49" s="97" t="s">
        <v>287</v>
      </c>
      <c r="E49" s="98" t="s">
        <v>283</v>
      </c>
      <c r="F49" s="2">
        <v>16</v>
      </c>
      <c r="G49" s="112">
        <v>60.31</v>
      </c>
      <c r="H49" s="22">
        <f t="shared" si="38"/>
        <v>964.96</v>
      </c>
      <c r="I49" s="2">
        <f t="shared" si="39"/>
        <v>77.34</v>
      </c>
      <c r="J49" s="23">
        <f t="shared" si="40"/>
        <v>1237.44</v>
      </c>
      <c r="M49" s="115"/>
    </row>
    <row r="50" spans="1:13" x14ac:dyDescent="0.2">
      <c r="A50" s="106" t="s">
        <v>102</v>
      </c>
      <c r="B50" s="116">
        <v>140</v>
      </c>
      <c r="C50" s="96" t="s">
        <v>56</v>
      </c>
      <c r="D50" s="97" t="s">
        <v>293</v>
      </c>
      <c r="E50" s="98" t="s">
        <v>288</v>
      </c>
      <c r="F50" s="2">
        <v>36</v>
      </c>
      <c r="G50" s="112">
        <v>16.190000000000001</v>
      </c>
      <c r="H50" s="22">
        <f t="shared" si="38"/>
        <v>582.84</v>
      </c>
      <c r="I50" s="2">
        <f t="shared" si="39"/>
        <v>20.76</v>
      </c>
      <c r="J50" s="23">
        <f t="shared" si="40"/>
        <v>747.36</v>
      </c>
      <c r="M50" s="115"/>
    </row>
    <row r="51" spans="1:13" x14ac:dyDescent="0.2">
      <c r="A51" s="106" t="s">
        <v>147</v>
      </c>
      <c r="B51" s="96" t="s">
        <v>179</v>
      </c>
      <c r="C51" s="96" t="s">
        <v>56</v>
      </c>
      <c r="D51" s="117" t="s">
        <v>178</v>
      </c>
      <c r="E51" s="95" t="s">
        <v>32</v>
      </c>
      <c r="F51" s="2">
        <v>888.61</v>
      </c>
      <c r="G51" s="107">
        <v>2.72</v>
      </c>
      <c r="H51" s="22">
        <f t="shared" ref="H51:H54" si="41">ROUND((+F51*G51),2)</f>
        <v>2417.02</v>
      </c>
      <c r="I51" s="2">
        <f t="shared" ref="I51:I54" si="42">ROUND((G51*$J$2)+G51,2)</f>
        <v>3.49</v>
      </c>
      <c r="J51" s="23">
        <f t="shared" ref="J51:J54" si="43">ROUND((F51*I51),2)</f>
        <v>3101.25</v>
      </c>
      <c r="M51" s="86"/>
    </row>
    <row r="52" spans="1:13" ht="22.5" x14ac:dyDescent="0.2">
      <c r="A52" s="106" t="s">
        <v>148</v>
      </c>
      <c r="B52" s="116" t="s">
        <v>180</v>
      </c>
      <c r="C52" s="96" t="s">
        <v>56</v>
      </c>
      <c r="D52" s="123" t="s">
        <v>181</v>
      </c>
      <c r="E52" s="98" t="s">
        <v>32</v>
      </c>
      <c r="F52" s="2">
        <v>888.61</v>
      </c>
      <c r="G52" s="107">
        <v>25.31</v>
      </c>
      <c r="H52" s="22">
        <f t="shared" si="41"/>
        <v>22490.720000000001</v>
      </c>
      <c r="I52" s="2">
        <f t="shared" si="42"/>
        <v>32.46</v>
      </c>
      <c r="J52" s="23">
        <f t="shared" si="43"/>
        <v>28844.28</v>
      </c>
      <c r="M52" s="86"/>
    </row>
    <row r="53" spans="1:13" ht="33.75" x14ac:dyDescent="0.2">
      <c r="A53" s="106" t="s">
        <v>149</v>
      </c>
      <c r="B53" s="116" t="s">
        <v>180</v>
      </c>
      <c r="C53" s="96" t="s">
        <v>56</v>
      </c>
      <c r="D53" s="124" t="s">
        <v>182</v>
      </c>
      <c r="E53" s="98" t="s">
        <v>32</v>
      </c>
      <c r="F53" s="2">
        <f>60*3</f>
        <v>180</v>
      </c>
      <c r="G53" s="107">
        <v>25.31</v>
      </c>
      <c r="H53" s="22">
        <f t="shared" si="41"/>
        <v>4555.8</v>
      </c>
      <c r="I53" s="2">
        <f t="shared" si="42"/>
        <v>32.46</v>
      </c>
      <c r="J53" s="23">
        <f t="shared" si="43"/>
        <v>5842.8</v>
      </c>
      <c r="M53" s="86"/>
    </row>
    <row r="54" spans="1:13" x14ac:dyDescent="0.2">
      <c r="A54" s="106" t="s">
        <v>150</v>
      </c>
      <c r="B54" s="116">
        <v>151</v>
      </c>
      <c r="C54" s="96" t="s">
        <v>56</v>
      </c>
      <c r="D54" s="124" t="s">
        <v>294</v>
      </c>
      <c r="E54" s="98" t="s">
        <v>283</v>
      </c>
      <c r="F54" s="2">
        <f>18*13</f>
        <v>234</v>
      </c>
      <c r="G54" s="112">
        <v>23.9</v>
      </c>
      <c r="H54" s="22">
        <f t="shared" si="41"/>
        <v>5592.6</v>
      </c>
      <c r="I54" s="2">
        <f t="shared" si="42"/>
        <v>30.65</v>
      </c>
      <c r="J54" s="23">
        <f t="shared" si="43"/>
        <v>7172.1</v>
      </c>
    </row>
    <row r="55" spans="1:13" ht="12.75" x14ac:dyDescent="0.2">
      <c r="A55" s="24">
        <v>4</v>
      </c>
      <c r="B55" s="25"/>
      <c r="C55" s="127" t="s">
        <v>185</v>
      </c>
      <c r="D55" s="128"/>
      <c r="E55" s="128"/>
      <c r="F55" s="133"/>
      <c r="G55" s="128"/>
      <c r="H55" s="128"/>
      <c r="I55" s="128"/>
      <c r="J55" s="129"/>
    </row>
    <row r="56" spans="1:13" ht="33.75" x14ac:dyDescent="0.2">
      <c r="A56" s="106" t="s">
        <v>45</v>
      </c>
      <c r="B56" s="96" t="s">
        <v>129</v>
      </c>
      <c r="C56" s="96" t="s">
        <v>56</v>
      </c>
      <c r="D56" s="97" t="s">
        <v>282</v>
      </c>
      <c r="E56" s="95" t="s">
        <v>32</v>
      </c>
      <c r="F56" s="2">
        <v>121.52</v>
      </c>
      <c r="G56" s="107">
        <v>5</v>
      </c>
      <c r="H56" s="22">
        <f t="shared" si="29"/>
        <v>607.6</v>
      </c>
      <c r="I56" s="2">
        <f t="shared" si="30"/>
        <v>6.41</v>
      </c>
      <c r="J56" s="23">
        <f t="shared" si="31"/>
        <v>778.94</v>
      </c>
      <c r="M56" s="86"/>
    </row>
    <row r="57" spans="1:13" ht="12.75" x14ac:dyDescent="0.2">
      <c r="A57" s="24">
        <v>5</v>
      </c>
      <c r="B57" s="25"/>
      <c r="C57" s="127" t="s">
        <v>186</v>
      </c>
      <c r="D57" s="128"/>
      <c r="E57" s="128"/>
      <c r="F57" s="133"/>
      <c r="G57" s="128"/>
      <c r="H57" s="128"/>
      <c r="I57" s="128"/>
      <c r="J57" s="129"/>
    </row>
    <row r="58" spans="1:13" ht="33.75" x14ac:dyDescent="0.2">
      <c r="A58" s="106" t="s">
        <v>47</v>
      </c>
      <c r="B58" s="96" t="s">
        <v>129</v>
      </c>
      <c r="C58" s="96" t="s">
        <v>56</v>
      </c>
      <c r="D58" s="97" t="s">
        <v>281</v>
      </c>
      <c r="E58" s="95" t="s">
        <v>32</v>
      </c>
      <c r="F58" s="2">
        <v>425.64</v>
      </c>
      <c r="G58" s="107">
        <v>5</v>
      </c>
      <c r="H58" s="22">
        <f t="shared" ref="H58" si="44">ROUND((+F58*G58),2)</f>
        <v>2128.1999999999998</v>
      </c>
      <c r="I58" s="2">
        <f t="shared" ref="I58" si="45">ROUND((G58*$J$2)+G58,2)</f>
        <v>6.41</v>
      </c>
      <c r="J58" s="23">
        <f t="shared" ref="J58" si="46">ROUND((F58*I58),2)</f>
        <v>2728.35</v>
      </c>
      <c r="M58" s="86"/>
    </row>
    <row r="59" spans="1:13" ht="33.75" x14ac:dyDescent="0.2">
      <c r="A59" s="106" t="s">
        <v>304</v>
      </c>
      <c r="B59" s="96" t="s">
        <v>139</v>
      </c>
      <c r="C59" s="96" t="s">
        <v>56</v>
      </c>
      <c r="D59" s="97" t="s">
        <v>184</v>
      </c>
      <c r="E59" s="95" t="s">
        <v>32</v>
      </c>
      <c r="F59" s="2">
        <v>1.62</v>
      </c>
      <c r="G59" s="107">
        <v>752.61</v>
      </c>
      <c r="H59" s="22">
        <f t="shared" si="4"/>
        <v>1219.23</v>
      </c>
      <c r="I59" s="2">
        <f t="shared" si="1"/>
        <v>965.15</v>
      </c>
      <c r="J59" s="23">
        <f t="shared" si="5"/>
        <v>1563.54</v>
      </c>
      <c r="M59" s="86"/>
    </row>
    <row r="60" spans="1:13" ht="12.75" x14ac:dyDescent="0.2">
      <c r="A60" s="24">
        <v>6</v>
      </c>
      <c r="B60" s="25"/>
      <c r="C60" s="143" t="s">
        <v>173</v>
      </c>
      <c r="D60" s="130"/>
      <c r="E60" s="130"/>
      <c r="F60" s="169"/>
      <c r="G60" s="130"/>
      <c r="H60" s="130"/>
      <c r="I60" s="130"/>
      <c r="J60" s="131"/>
    </row>
    <row r="61" spans="1:13" x14ac:dyDescent="0.2">
      <c r="A61" s="106" t="s">
        <v>231</v>
      </c>
      <c r="B61" s="96" t="s">
        <v>207</v>
      </c>
      <c r="C61" s="96" t="s">
        <v>56</v>
      </c>
      <c r="D61" s="117" t="s">
        <v>208</v>
      </c>
      <c r="E61" s="95" t="s">
        <v>161</v>
      </c>
      <c r="F61" s="2">
        <f>3.51+3.76</f>
        <v>7.27</v>
      </c>
      <c r="G61" s="107">
        <v>36.04</v>
      </c>
      <c r="H61" s="22">
        <f t="shared" ref="H61:H62" si="47">ROUND((+F61*G61),2)</f>
        <v>262.01</v>
      </c>
      <c r="I61" s="2">
        <f t="shared" ref="I61:I62" si="48">ROUND((G61*$J$2)+G61,2)</f>
        <v>46.22</v>
      </c>
      <c r="J61" s="23">
        <f t="shared" ref="J61:J62" si="49">ROUND((F61*I61),2)</f>
        <v>336.02</v>
      </c>
    </row>
    <row r="62" spans="1:13" ht="22.5" x14ac:dyDescent="0.2">
      <c r="A62" s="106" t="s">
        <v>232</v>
      </c>
      <c r="B62" s="96" t="s">
        <v>210</v>
      </c>
      <c r="C62" s="96" t="s">
        <v>56</v>
      </c>
      <c r="D62" s="117" t="s">
        <v>209</v>
      </c>
      <c r="E62" s="95" t="s">
        <v>32</v>
      </c>
      <c r="F62" s="2">
        <v>7.27</v>
      </c>
      <c r="G62" s="107">
        <v>91.74</v>
      </c>
      <c r="H62" s="22">
        <f t="shared" si="47"/>
        <v>666.95</v>
      </c>
      <c r="I62" s="2">
        <f t="shared" si="48"/>
        <v>117.65</v>
      </c>
      <c r="J62" s="23">
        <f t="shared" si="49"/>
        <v>855.32</v>
      </c>
    </row>
    <row r="63" spans="1:13" ht="33.75" x14ac:dyDescent="0.2">
      <c r="A63" s="106" t="s">
        <v>233</v>
      </c>
      <c r="B63" s="96" t="s">
        <v>212</v>
      </c>
      <c r="C63" s="96" t="s">
        <v>56</v>
      </c>
      <c r="D63" s="117" t="s">
        <v>213</v>
      </c>
      <c r="E63" s="95" t="s">
        <v>32</v>
      </c>
      <c r="F63" s="2">
        <f>1.37+1.4</f>
        <v>2.77</v>
      </c>
      <c r="G63" s="107">
        <v>72.12</v>
      </c>
      <c r="H63" s="22">
        <f t="shared" ref="H63:H64" si="50">ROUND((+F63*G63),2)</f>
        <v>199.77</v>
      </c>
      <c r="I63" s="2">
        <f t="shared" ref="I63:I64" si="51">ROUND((G63*$J$2)+G63,2)</f>
        <v>92.49</v>
      </c>
      <c r="J63" s="23">
        <f t="shared" ref="J63:J64" si="52">ROUND((F63*I63),2)</f>
        <v>256.2</v>
      </c>
    </row>
    <row r="64" spans="1:13" x14ac:dyDescent="0.2">
      <c r="A64" s="106" t="s">
        <v>234</v>
      </c>
      <c r="B64" s="96" t="s">
        <v>58</v>
      </c>
      <c r="C64" s="96" t="s">
        <v>56</v>
      </c>
      <c r="D64" s="117" t="s">
        <v>214</v>
      </c>
      <c r="E64" s="95" t="s">
        <v>32</v>
      </c>
      <c r="F64" s="2">
        <f>(6.72*2) + 4.45</f>
        <v>17.89</v>
      </c>
      <c r="G64" s="107">
        <v>20.9</v>
      </c>
      <c r="H64" s="22">
        <f t="shared" si="50"/>
        <v>373.9</v>
      </c>
      <c r="I64" s="2">
        <f t="shared" si="51"/>
        <v>26.8</v>
      </c>
      <c r="J64" s="23">
        <f t="shared" si="52"/>
        <v>479.45</v>
      </c>
    </row>
    <row r="65" spans="1:13" ht="33.75" x14ac:dyDescent="0.2">
      <c r="A65" s="106" t="s">
        <v>235</v>
      </c>
      <c r="B65" s="96" t="s">
        <v>217</v>
      </c>
      <c r="C65" s="96" t="s">
        <v>56</v>
      </c>
      <c r="D65" s="117" t="s">
        <v>216</v>
      </c>
      <c r="E65" s="95" t="s">
        <v>32</v>
      </c>
      <c r="F65" s="2">
        <f>4.2+4.2</f>
        <v>8.4</v>
      </c>
      <c r="G65" s="107">
        <v>29.16</v>
      </c>
      <c r="H65" s="22">
        <f t="shared" ref="H65" si="53">ROUND((+F65*G65),2)</f>
        <v>244.94</v>
      </c>
      <c r="I65" s="2">
        <f t="shared" ref="I65" si="54">ROUND((G65*$J$2)+G65,2)</f>
        <v>37.39</v>
      </c>
      <c r="J65" s="23">
        <f t="shared" ref="J65" si="55">ROUND((F65*I65),2)</f>
        <v>314.08</v>
      </c>
    </row>
    <row r="66" spans="1:13" ht="22.5" x14ac:dyDescent="0.2">
      <c r="A66" s="106" t="s">
        <v>236</v>
      </c>
      <c r="B66" s="116">
        <v>101966</v>
      </c>
      <c r="C66" s="96" t="s">
        <v>56</v>
      </c>
      <c r="D66" s="117" t="s">
        <v>215</v>
      </c>
      <c r="E66" s="95" t="s">
        <v>35</v>
      </c>
      <c r="F66" s="2">
        <f>5.6+1+5.55+1</f>
        <v>13.149999999999999</v>
      </c>
      <c r="G66" s="107">
        <v>136.1</v>
      </c>
      <c r="H66" s="22">
        <f t="shared" ref="H66:H67" si="56">ROUND((+F66*G66),2)</f>
        <v>1789.72</v>
      </c>
      <c r="I66" s="2">
        <f t="shared" ref="I66:I67" si="57">ROUND((G66*$J$2)+G66,2)</f>
        <v>174.53</v>
      </c>
      <c r="J66" s="23">
        <f t="shared" ref="J66:J67" si="58">ROUND((F66*I66),2)</f>
        <v>2295.0700000000002</v>
      </c>
    </row>
    <row r="67" spans="1:13" ht="22.5" x14ac:dyDescent="0.2">
      <c r="A67" s="106" t="s">
        <v>237</v>
      </c>
      <c r="B67" s="116" t="s">
        <v>195</v>
      </c>
      <c r="C67" s="96" t="s">
        <v>56</v>
      </c>
      <c r="D67" s="117" t="s">
        <v>218</v>
      </c>
      <c r="E67" s="95" t="s">
        <v>32</v>
      </c>
      <c r="F67" s="2">
        <v>4.45</v>
      </c>
      <c r="G67" s="107">
        <v>40.03</v>
      </c>
      <c r="H67" s="22">
        <f t="shared" si="56"/>
        <v>178.13</v>
      </c>
      <c r="I67" s="2">
        <f t="shared" si="57"/>
        <v>51.33</v>
      </c>
      <c r="J67" s="23">
        <f t="shared" si="58"/>
        <v>228.42</v>
      </c>
    </row>
    <row r="68" spans="1:13" ht="33.75" x14ac:dyDescent="0.2">
      <c r="A68" s="106" t="s">
        <v>238</v>
      </c>
      <c r="B68" s="96" t="s">
        <v>217</v>
      </c>
      <c r="C68" s="96" t="s">
        <v>56</v>
      </c>
      <c r="D68" s="117" t="s">
        <v>308</v>
      </c>
      <c r="E68" s="95" t="s">
        <v>32</v>
      </c>
      <c r="F68" s="2">
        <v>4.45</v>
      </c>
      <c r="G68" s="107">
        <v>29.16</v>
      </c>
      <c r="H68" s="22">
        <f t="shared" ref="H68" si="59">ROUND((+F68*G68),2)</f>
        <v>129.76</v>
      </c>
      <c r="I68" s="2">
        <f t="shared" ref="I68" si="60">ROUND((G68*$J$2)+G68,2)</f>
        <v>37.39</v>
      </c>
      <c r="J68" s="23">
        <f t="shared" ref="J68" si="61">ROUND((F68*I68),2)</f>
        <v>166.39</v>
      </c>
    </row>
    <row r="69" spans="1:13" ht="12.75" x14ac:dyDescent="0.2">
      <c r="A69" s="24">
        <v>7</v>
      </c>
      <c r="B69" s="25"/>
      <c r="C69" s="127" t="s">
        <v>174</v>
      </c>
      <c r="D69" s="128"/>
      <c r="E69" s="128"/>
      <c r="F69" s="133"/>
      <c r="G69" s="128"/>
      <c r="H69" s="128"/>
      <c r="I69" s="128"/>
      <c r="J69" s="129"/>
    </row>
    <row r="70" spans="1:13" x14ac:dyDescent="0.2">
      <c r="A70" s="106" t="s">
        <v>239</v>
      </c>
      <c r="B70" s="96" t="s">
        <v>175</v>
      </c>
      <c r="C70" s="96" t="s">
        <v>56</v>
      </c>
      <c r="D70" s="97" t="s">
        <v>187</v>
      </c>
      <c r="E70" s="95" t="s">
        <v>32</v>
      </c>
      <c r="F70" s="2">
        <v>215.52</v>
      </c>
      <c r="G70" s="107">
        <v>5.33</v>
      </c>
      <c r="H70" s="22">
        <f t="shared" ref="H70:H74" si="62">ROUND((+F70*G70),2)</f>
        <v>1148.72</v>
      </c>
      <c r="I70" s="2">
        <f t="shared" ref="I70:I74" si="63">ROUND((G70*$J$2)+G70,2)</f>
        <v>6.84</v>
      </c>
      <c r="J70" s="23">
        <f t="shared" ref="J70:J74" si="64">ROUND((F70*I70),2)</f>
        <v>1474.16</v>
      </c>
      <c r="M70" s="86"/>
    </row>
    <row r="71" spans="1:13" ht="22.5" x14ac:dyDescent="0.2">
      <c r="A71" s="106" t="s">
        <v>240</v>
      </c>
      <c r="B71" s="96" t="s">
        <v>296</v>
      </c>
      <c r="C71" s="96" t="s">
        <v>56</v>
      </c>
      <c r="D71" s="117" t="s">
        <v>227</v>
      </c>
      <c r="E71" s="95" t="s">
        <v>161</v>
      </c>
      <c r="F71" s="2">
        <v>2.34</v>
      </c>
      <c r="G71" s="107">
        <v>260.74</v>
      </c>
      <c r="H71" s="22">
        <f t="shared" si="62"/>
        <v>610.13</v>
      </c>
      <c r="I71" s="2">
        <f t="shared" si="63"/>
        <v>334.37</v>
      </c>
      <c r="J71" s="23">
        <f t="shared" si="64"/>
        <v>782.43</v>
      </c>
      <c r="M71" s="86"/>
    </row>
    <row r="72" spans="1:13" ht="22.5" x14ac:dyDescent="0.2">
      <c r="A72" s="106" t="s">
        <v>241</v>
      </c>
      <c r="B72" s="96" t="s">
        <v>297</v>
      </c>
      <c r="C72" s="96" t="s">
        <v>56</v>
      </c>
      <c r="D72" s="97" t="s">
        <v>188</v>
      </c>
      <c r="E72" s="95" t="s">
        <v>32</v>
      </c>
      <c r="F72" s="2">
        <v>107.76</v>
      </c>
      <c r="G72" s="107">
        <v>60.53</v>
      </c>
      <c r="H72" s="22">
        <f t="shared" si="62"/>
        <v>6522.71</v>
      </c>
      <c r="I72" s="2">
        <f t="shared" si="63"/>
        <v>77.62</v>
      </c>
      <c r="J72" s="23">
        <f t="shared" si="64"/>
        <v>8364.33</v>
      </c>
      <c r="M72" s="86"/>
    </row>
    <row r="73" spans="1:13" ht="33.75" x14ac:dyDescent="0.2">
      <c r="A73" s="106" t="s">
        <v>242</v>
      </c>
      <c r="B73" s="96" t="s">
        <v>298</v>
      </c>
      <c r="C73" s="96" t="s">
        <v>56</v>
      </c>
      <c r="D73" s="97" t="s">
        <v>189</v>
      </c>
      <c r="E73" s="154" t="s">
        <v>190</v>
      </c>
      <c r="F73" s="148">
        <f>215.52*2</f>
        <v>431.04</v>
      </c>
      <c r="G73" s="140">
        <v>14.16</v>
      </c>
      <c r="H73" s="140">
        <f t="shared" si="62"/>
        <v>6103.53</v>
      </c>
      <c r="I73" s="148">
        <f t="shared" si="63"/>
        <v>18.16</v>
      </c>
      <c r="J73" s="149">
        <f t="shared" si="64"/>
        <v>7827.69</v>
      </c>
      <c r="M73" s="86"/>
    </row>
    <row r="74" spans="1:13" ht="22.5" x14ac:dyDescent="0.2">
      <c r="A74" s="106" t="s">
        <v>243</v>
      </c>
      <c r="B74" s="96" t="s">
        <v>193</v>
      </c>
      <c r="C74" s="96" t="s">
        <v>56</v>
      </c>
      <c r="D74" s="97" t="s">
        <v>194</v>
      </c>
      <c r="E74" s="95" t="s">
        <v>161</v>
      </c>
      <c r="F74" s="2">
        <v>2.34</v>
      </c>
      <c r="G74" s="107">
        <v>571.12</v>
      </c>
      <c r="H74" s="22">
        <f t="shared" si="62"/>
        <v>1336.42</v>
      </c>
      <c r="I74" s="2">
        <f t="shared" si="63"/>
        <v>732.4</v>
      </c>
      <c r="J74" s="23">
        <f t="shared" si="64"/>
        <v>1713.82</v>
      </c>
      <c r="M74" s="86"/>
    </row>
    <row r="75" spans="1:13" x14ac:dyDescent="0.2">
      <c r="A75" s="106" t="s">
        <v>244</v>
      </c>
      <c r="B75" s="96" t="s">
        <v>191</v>
      </c>
      <c r="C75" s="96" t="s">
        <v>56</v>
      </c>
      <c r="D75" s="97" t="s">
        <v>192</v>
      </c>
      <c r="E75" s="95" t="s">
        <v>32</v>
      </c>
      <c r="F75" s="2">
        <v>215.52</v>
      </c>
      <c r="G75" s="107">
        <v>10.44</v>
      </c>
      <c r="H75" s="22">
        <f t="shared" ref="H75" si="65">ROUND((+F75*G75),2)</f>
        <v>2250.0300000000002</v>
      </c>
      <c r="I75" s="2">
        <f t="shared" ref="I75" si="66">ROUND((G75*$J$2)+G75,2)</f>
        <v>13.39</v>
      </c>
      <c r="J75" s="23">
        <f t="shared" ref="J75" si="67">ROUND((F75*I75),2)</f>
        <v>2885.81</v>
      </c>
      <c r="M75" s="86"/>
    </row>
    <row r="76" spans="1:13" ht="22.5" x14ac:dyDescent="0.2">
      <c r="A76" s="106" t="s">
        <v>245</v>
      </c>
      <c r="B76" s="96" t="s">
        <v>195</v>
      </c>
      <c r="C76" s="96" t="s">
        <v>56</v>
      </c>
      <c r="D76" s="117" t="s">
        <v>196</v>
      </c>
      <c r="E76" s="95" t="s">
        <v>32</v>
      </c>
      <c r="F76" s="2">
        <v>215.52</v>
      </c>
      <c r="G76" s="107">
        <v>40.03</v>
      </c>
      <c r="H76" s="22">
        <f t="shared" ref="H76:H77" si="68">ROUND((+F76*G76),2)</f>
        <v>8627.27</v>
      </c>
      <c r="I76" s="2">
        <f t="shared" ref="I76:I77" si="69">ROUND((G76*$J$2)+G76,2)</f>
        <v>51.33</v>
      </c>
      <c r="J76" s="23">
        <f t="shared" ref="J76:J77" si="70">ROUND((F76*I76),2)</f>
        <v>11062.64</v>
      </c>
      <c r="M76" s="86"/>
    </row>
    <row r="77" spans="1:13" x14ac:dyDescent="0.2">
      <c r="A77" s="106" t="s">
        <v>246</v>
      </c>
      <c r="B77" s="96" t="s">
        <v>58</v>
      </c>
      <c r="C77" s="96" t="s">
        <v>56</v>
      </c>
      <c r="D77" s="97" t="s">
        <v>197</v>
      </c>
      <c r="E77" s="95" t="s">
        <v>32</v>
      </c>
      <c r="F77" s="2">
        <v>431.04</v>
      </c>
      <c r="G77" s="107">
        <v>20.9</v>
      </c>
      <c r="H77" s="22">
        <f t="shared" si="68"/>
        <v>9008.74</v>
      </c>
      <c r="I77" s="2">
        <f t="shared" si="69"/>
        <v>26.8</v>
      </c>
      <c r="J77" s="23">
        <f t="shared" si="70"/>
        <v>11551.87</v>
      </c>
      <c r="M77" s="86"/>
    </row>
    <row r="78" spans="1:13" ht="22.5" x14ac:dyDescent="0.2">
      <c r="A78" s="106" t="s">
        <v>247</v>
      </c>
      <c r="B78" s="96" t="s">
        <v>152</v>
      </c>
      <c r="C78" s="96" t="s">
        <v>56</v>
      </c>
      <c r="D78" s="135" t="s">
        <v>228</v>
      </c>
      <c r="E78" s="95" t="s">
        <v>32</v>
      </c>
      <c r="F78" s="2">
        <v>431.04</v>
      </c>
      <c r="G78" s="140">
        <v>45.2</v>
      </c>
      <c r="H78" s="22">
        <f t="shared" ref="H78" si="71">ROUND((+F78*G78),2)</f>
        <v>19483.009999999998</v>
      </c>
      <c r="I78" s="2">
        <f t="shared" ref="I78" si="72">ROUND((G78*$J$2)+G78,2)</f>
        <v>57.96</v>
      </c>
      <c r="J78" s="23">
        <f t="shared" ref="J78" si="73">ROUND((F78*I78),2)</f>
        <v>24983.08</v>
      </c>
      <c r="M78" s="86"/>
    </row>
    <row r="79" spans="1:13" ht="12.75" x14ac:dyDescent="0.2">
      <c r="A79" s="24">
        <v>8</v>
      </c>
      <c r="B79" s="100"/>
      <c r="C79" s="132" t="s">
        <v>55</v>
      </c>
      <c r="D79" s="133"/>
      <c r="E79" s="133"/>
      <c r="F79" s="133"/>
      <c r="G79" s="133"/>
      <c r="H79" s="133"/>
      <c r="I79" s="133"/>
      <c r="J79" s="134"/>
    </row>
    <row r="80" spans="1:13" ht="33.75" x14ac:dyDescent="0.2">
      <c r="A80" s="144" t="s">
        <v>248</v>
      </c>
      <c r="B80" s="145" t="s">
        <v>199</v>
      </c>
      <c r="C80" s="145" t="s">
        <v>56</v>
      </c>
      <c r="D80" s="136" t="s">
        <v>200</v>
      </c>
      <c r="E80" s="146" t="s">
        <v>201</v>
      </c>
      <c r="F80" s="170">
        <f>57*5</f>
        <v>285</v>
      </c>
      <c r="G80" s="147">
        <v>43.77</v>
      </c>
      <c r="H80" s="140">
        <f t="shared" ref="H80" si="74">ROUND((+F80*G80),2)</f>
        <v>12474.45</v>
      </c>
      <c r="I80" s="148">
        <f t="shared" ref="I80" si="75">ROUND((G80*$J$2)+G80,2)</f>
        <v>56.13</v>
      </c>
      <c r="J80" s="149">
        <f t="shared" ref="J80" si="76">ROUND((F80*I80),2)</f>
        <v>15997.05</v>
      </c>
      <c r="M80" s="86"/>
    </row>
    <row r="81" spans="1:15" x14ac:dyDescent="0.2">
      <c r="A81" s="144" t="s">
        <v>249</v>
      </c>
      <c r="B81" s="145" t="s">
        <v>117</v>
      </c>
      <c r="C81" s="145" t="s">
        <v>56</v>
      </c>
      <c r="D81" s="135" t="s">
        <v>295</v>
      </c>
      <c r="E81" s="146" t="s">
        <v>38</v>
      </c>
      <c r="F81" s="170">
        <v>13</v>
      </c>
      <c r="G81" s="147">
        <v>280</v>
      </c>
      <c r="H81" s="140">
        <f t="shared" ref="H81" si="77">ROUND((+F81*G81),2)</f>
        <v>3640</v>
      </c>
      <c r="I81" s="148">
        <f t="shared" ref="I81" si="78">ROUND((G81*$J$2)+G81,2)</f>
        <v>359.07</v>
      </c>
      <c r="J81" s="149">
        <f t="shared" ref="J81" si="79">ROUND((F81*I81),2)</f>
        <v>4667.91</v>
      </c>
      <c r="M81" s="86"/>
    </row>
    <row r="82" spans="1:15" ht="12.75" x14ac:dyDescent="0.2">
      <c r="A82" s="24">
        <v>9</v>
      </c>
      <c r="B82" s="100"/>
      <c r="C82" s="132" t="s">
        <v>167</v>
      </c>
      <c r="D82" s="133"/>
      <c r="E82" s="133"/>
      <c r="F82" s="133"/>
      <c r="G82" s="133"/>
      <c r="H82" s="133"/>
      <c r="I82" s="133"/>
      <c r="J82" s="134"/>
    </row>
    <row r="83" spans="1:15" ht="22.5" x14ac:dyDescent="0.2">
      <c r="A83" s="108" t="s">
        <v>250</v>
      </c>
      <c r="B83" s="96" t="s">
        <v>202</v>
      </c>
      <c r="C83" s="96" t="s">
        <v>56</v>
      </c>
      <c r="D83" s="97" t="s">
        <v>203</v>
      </c>
      <c r="E83" s="98" t="s">
        <v>204</v>
      </c>
      <c r="F83" s="170">
        <f>1524.86*5</f>
        <v>7624.2999999999993</v>
      </c>
      <c r="G83" s="125">
        <v>6.66</v>
      </c>
      <c r="H83" s="22">
        <f t="shared" ref="H83" si="80">ROUND((+F83*G83),2)</f>
        <v>50777.84</v>
      </c>
      <c r="I83" s="2">
        <f t="shared" ref="I83" si="81">ROUND((G83*$J$2)+G83,2)</f>
        <v>8.5399999999999991</v>
      </c>
      <c r="J83" s="23">
        <f t="shared" ref="J83" si="82">ROUND((F83*I83),2)</f>
        <v>65111.519999999997</v>
      </c>
      <c r="M83" s="86"/>
      <c r="N83" s="150"/>
      <c r="O83" s="150"/>
    </row>
    <row r="84" spans="1:15" ht="22.5" x14ac:dyDescent="0.2">
      <c r="A84" s="108" t="s">
        <v>251</v>
      </c>
      <c r="B84" s="96" t="s">
        <v>264</v>
      </c>
      <c r="C84" s="96" t="s">
        <v>56</v>
      </c>
      <c r="D84" s="97" t="s">
        <v>265</v>
      </c>
      <c r="E84" s="98" t="s">
        <v>32</v>
      </c>
      <c r="F84" s="170">
        <v>1524.86</v>
      </c>
      <c r="G84" s="125">
        <v>6.16</v>
      </c>
      <c r="H84" s="22">
        <f t="shared" ref="H84" si="83">ROUND((+F84*G84),2)</f>
        <v>9393.14</v>
      </c>
      <c r="I84" s="2">
        <f t="shared" ref="I84" si="84">ROUND((G84*$J$2)+G84,2)</f>
        <v>7.9</v>
      </c>
      <c r="J84" s="23">
        <f t="shared" ref="J84" si="85">ROUND((F84*I84),2)</f>
        <v>12046.39</v>
      </c>
      <c r="M84" s="86"/>
    </row>
    <row r="85" spans="1:15" ht="22.5" x14ac:dyDescent="0.2">
      <c r="A85" s="108" t="s">
        <v>263</v>
      </c>
      <c r="B85" s="96" t="s">
        <v>205</v>
      </c>
      <c r="C85" s="96" t="s">
        <v>56</v>
      </c>
      <c r="D85" s="117" t="s">
        <v>206</v>
      </c>
      <c r="E85" s="98" t="s">
        <v>32</v>
      </c>
      <c r="F85" s="170">
        <v>1524.86</v>
      </c>
      <c r="G85" s="125">
        <v>8.48</v>
      </c>
      <c r="H85" s="22">
        <f t="shared" ref="H85:H86" si="86">ROUND((+F85*G85),2)</f>
        <v>12930.81</v>
      </c>
      <c r="I85" s="2">
        <f t="shared" ref="I85:I86" si="87">ROUND((G85*$J$2)+G85,2)</f>
        <v>10.87</v>
      </c>
      <c r="J85" s="23">
        <f t="shared" ref="J85:J86" si="88">ROUND((F85*I85),2)</f>
        <v>16575.23</v>
      </c>
      <c r="M85" s="86"/>
    </row>
    <row r="86" spans="1:15" s="152" customFormat="1" ht="22.5" x14ac:dyDescent="0.2">
      <c r="A86" s="108" t="s">
        <v>305</v>
      </c>
      <c r="B86" s="145" t="s">
        <v>299</v>
      </c>
      <c r="C86" s="145" t="s">
        <v>56</v>
      </c>
      <c r="D86" s="136" t="s">
        <v>300</v>
      </c>
      <c r="E86" s="146" t="s">
        <v>201</v>
      </c>
      <c r="F86" s="170">
        <f>47.41*4</f>
        <v>189.64</v>
      </c>
      <c r="G86" s="147">
        <v>6.66</v>
      </c>
      <c r="H86" s="140">
        <f t="shared" si="86"/>
        <v>1263</v>
      </c>
      <c r="I86" s="148">
        <f t="shared" si="87"/>
        <v>8.5399999999999991</v>
      </c>
      <c r="J86" s="149">
        <f t="shared" si="88"/>
        <v>1619.53</v>
      </c>
      <c r="M86" s="151"/>
      <c r="N86" s="153"/>
    </row>
    <row r="87" spans="1:15" ht="12.75" x14ac:dyDescent="0.2">
      <c r="A87" s="24">
        <v>10</v>
      </c>
      <c r="B87" s="100"/>
      <c r="C87" s="132" t="s">
        <v>211</v>
      </c>
      <c r="D87" s="133"/>
      <c r="E87" s="133"/>
      <c r="F87" s="133"/>
      <c r="G87" s="133"/>
      <c r="H87" s="133"/>
      <c r="I87" s="133"/>
      <c r="J87" s="134"/>
    </row>
    <row r="88" spans="1:15" ht="45" x14ac:dyDescent="0.2">
      <c r="A88" s="108" t="s">
        <v>252</v>
      </c>
      <c r="B88" s="96" t="s">
        <v>219</v>
      </c>
      <c r="C88" s="96" t="s">
        <v>56</v>
      </c>
      <c r="D88" s="136" t="s">
        <v>220</v>
      </c>
      <c r="E88" s="98" t="s">
        <v>230</v>
      </c>
      <c r="F88" s="99">
        <v>1</v>
      </c>
      <c r="G88" s="99">
        <v>7525.21</v>
      </c>
      <c r="H88" s="2">
        <f t="shared" ref="H88" si="89">ROUND((+F88*G88),2)</f>
        <v>7525.21</v>
      </c>
      <c r="I88" s="2">
        <f t="shared" ref="I88" si="90">ROUND((G88*$J$2)+G88,2)</f>
        <v>9650.33</v>
      </c>
      <c r="J88" s="111">
        <f t="shared" ref="J88" si="91">ROUND((F88*I88),2)</f>
        <v>9650.33</v>
      </c>
      <c r="M88" s="86"/>
    </row>
    <row r="89" spans="1:15" ht="12.75" x14ac:dyDescent="0.2">
      <c r="A89" s="24">
        <v>11</v>
      </c>
      <c r="B89" s="100"/>
      <c r="C89" s="132" t="s">
        <v>229</v>
      </c>
      <c r="D89" s="133"/>
      <c r="E89" s="133"/>
      <c r="F89" s="133"/>
      <c r="G89" s="133"/>
      <c r="H89" s="133"/>
      <c r="I89" s="133"/>
      <c r="J89" s="134"/>
    </row>
    <row r="90" spans="1:15" ht="22.5" x14ac:dyDescent="0.2">
      <c r="A90" s="108" t="s">
        <v>253</v>
      </c>
      <c r="B90" s="96" t="s">
        <v>272</v>
      </c>
      <c r="C90" s="96" t="s">
        <v>56</v>
      </c>
      <c r="D90" s="97" t="s">
        <v>273</v>
      </c>
      <c r="E90" s="98" t="s">
        <v>32</v>
      </c>
      <c r="F90" s="99">
        <v>4.7300000000000004</v>
      </c>
      <c r="G90" s="99">
        <v>336.09</v>
      </c>
      <c r="H90" s="2">
        <f t="shared" ref="H90" si="92">ROUND((+F90*G90),2)</f>
        <v>1589.71</v>
      </c>
      <c r="I90" s="2">
        <f t="shared" ref="I90" si="93">ROUND((G90*$J$2)+G90,2)</f>
        <v>431</v>
      </c>
      <c r="J90" s="111">
        <f t="shared" ref="J90" si="94">ROUND((F90*I90),2)</f>
        <v>2038.63</v>
      </c>
      <c r="M90" s="86"/>
    </row>
    <row r="91" spans="1:15" ht="12" x14ac:dyDescent="0.2">
      <c r="A91" s="207" t="s">
        <v>43</v>
      </c>
      <c r="B91" s="208"/>
      <c r="C91" s="208"/>
      <c r="D91" s="208"/>
      <c r="E91" s="208"/>
      <c r="F91" s="208"/>
      <c r="G91" s="208"/>
      <c r="H91" s="208"/>
      <c r="I91" s="209"/>
      <c r="J91" s="109">
        <f>SUM(J8:J90,)</f>
        <v>419627.93000000011</v>
      </c>
    </row>
    <row r="92" spans="1:15" ht="12.75" x14ac:dyDescent="0.2">
      <c r="A92" s="24">
        <v>12</v>
      </c>
      <c r="B92" s="100"/>
      <c r="C92" s="132" t="s">
        <v>63</v>
      </c>
      <c r="D92" s="133"/>
      <c r="E92" s="133"/>
      <c r="F92" s="133"/>
      <c r="G92" s="133"/>
      <c r="H92" s="133"/>
      <c r="I92" s="133"/>
      <c r="J92" s="134"/>
    </row>
    <row r="93" spans="1:15" ht="22.5" x14ac:dyDescent="0.2">
      <c r="A93" s="108" t="s">
        <v>254</v>
      </c>
      <c r="B93" s="116">
        <v>34780</v>
      </c>
      <c r="C93" s="96" t="s">
        <v>56</v>
      </c>
      <c r="D93" s="97" t="s">
        <v>116</v>
      </c>
      <c r="E93" s="98" t="s">
        <v>62</v>
      </c>
      <c r="F93" s="99">
        <f>+(270*2)</f>
        <v>540</v>
      </c>
      <c r="G93" s="99">
        <v>124.73</v>
      </c>
      <c r="H93" s="2">
        <f t="shared" ref="H93:H99" si="95">ROUND((+F93*G93),2)</f>
        <v>67354.2</v>
      </c>
      <c r="I93" s="2">
        <f t="shared" ref="I93:I99" si="96">ROUND((G93*$J$2)+G93,2)</f>
        <v>159.94999999999999</v>
      </c>
      <c r="J93" s="111">
        <f t="shared" ref="J93:J99" si="97">ROUND((F93*I93),2)</f>
        <v>86373</v>
      </c>
    </row>
    <row r="94" spans="1:15" x14ac:dyDescent="0.2">
      <c r="A94" s="108" t="s">
        <v>255</v>
      </c>
      <c r="B94" s="96" t="s">
        <v>132</v>
      </c>
      <c r="C94" s="96" t="s">
        <v>56</v>
      </c>
      <c r="D94" s="97" t="s">
        <v>131</v>
      </c>
      <c r="E94" s="98" t="s">
        <v>133</v>
      </c>
      <c r="F94" s="99">
        <v>9</v>
      </c>
      <c r="G94" s="99">
        <v>13133.21</v>
      </c>
      <c r="H94" s="2">
        <f t="shared" si="95"/>
        <v>118198.89</v>
      </c>
      <c r="I94" s="2">
        <f t="shared" si="96"/>
        <v>16842.03</v>
      </c>
      <c r="J94" s="111">
        <f t="shared" si="97"/>
        <v>151578.26999999999</v>
      </c>
    </row>
    <row r="95" spans="1:15" x14ac:dyDescent="0.2">
      <c r="A95" s="108" t="s">
        <v>256</v>
      </c>
      <c r="B95" s="96" t="s">
        <v>267</v>
      </c>
      <c r="C95" s="96" t="s">
        <v>56</v>
      </c>
      <c r="D95" s="97" t="s">
        <v>268</v>
      </c>
      <c r="E95" s="98" t="s">
        <v>133</v>
      </c>
      <c r="F95" s="99">
        <v>6</v>
      </c>
      <c r="G95" s="99">
        <v>6188.26</v>
      </c>
      <c r="H95" s="2">
        <f t="shared" ref="H95" si="98">ROUND((+F95*G95),2)</f>
        <v>37129.56</v>
      </c>
      <c r="I95" s="2">
        <f t="shared" ref="I95" si="99">ROUND((G95*$J$2)+G95,2)</f>
        <v>7935.82</v>
      </c>
      <c r="J95" s="111">
        <f t="shared" ref="J95" si="100">ROUND((F95*I95),2)</f>
        <v>47614.92</v>
      </c>
      <c r="M95" s="86"/>
    </row>
    <row r="96" spans="1:15" x14ac:dyDescent="0.2">
      <c r="A96" s="108" t="s">
        <v>257</v>
      </c>
      <c r="B96" s="96" t="s">
        <v>135</v>
      </c>
      <c r="C96" s="96" t="s">
        <v>56</v>
      </c>
      <c r="D96" s="97" t="s">
        <v>134</v>
      </c>
      <c r="E96" s="98" t="s">
        <v>136</v>
      </c>
      <c r="F96" s="99">
        <v>80</v>
      </c>
      <c r="G96" s="99">
        <v>24.6</v>
      </c>
      <c r="H96" s="2">
        <f t="shared" si="95"/>
        <v>1968</v>
      </c>
      <c r="I96" s="2">
        <f t="shared" si="96"/>
        <v>31.55</v>
      </c>
      <c r="J96" s="111">
        <f t="shared" si="97"/>
        <v>2524</v>
      </c>
    </row>
    <row r="97" spans="1:10" x14ac:dyDescent="0.2">
      <c r="A97" s="108" t="s">
        <v>258</v>
      </c>
      <c r="B97" s="96" t="s">
        <v>270</v>
      </c>
      <c r="C97" s="96" t="s">
        <v>56</v>
      </c>
      <c r="D97" s="97" t="s">
        <v>269</v>
      </c>
      <c r="E97" s="98" t="s">
        <v>136</v>
      </c>
      <c r="F97" s="99">
        <v>80</v>
      </c>
      <c r="G97" s="99">
        <v>19.96</v>
      </c>
      <c r="H97" s="2">
        <f t="shared" ref="H97" si="101">ROUND((+F97*G97),2)</f>
        <v>1596.8</v>
      </c>
      <c r="I97" s="2">
        <f t="shared" ref="I97" si="102">ROUND((G97*$J$2)+G97,2)</f>
        <v>25.6</v>
      </c>
      <c r="J97" s="111">
        <f t="shared" ref="J97" si="103">ROUND((F97*I97),2)</f>
        <v>2048</v>
      </c>
    </row>
    <row r="98" spans="1:10" x14ac:dyDescent="0.2">
      <c r="A98" s="108" t="s">
        <v>259</v>
      </c>
      <c r="B98" s="116">
        <v>4750</v>
      </c>
      <c r="C98" s="96" t="s">
        <v>56</v>
      </c>
      <c r="D98" s="97" t="s">
        <v>59</v>
      </c>
      <c r="E98" s="98" t="s">
        <v>62</v>
      </c>
      <c r="F98" s="99">
        <f>+(215*8)*2</f>
        <v>3440</v>
      </c>
      <c r="G98" s="99">
        <v>21.35</v>
      </c>
      <c r="H98" s="2">
        <f t="shared" si="95"/>
        <v>73444</v>
      </c>
      <c r="I98" s="2">
        <f t="shared" si="96"/>
        <v>27.38</v>
      </c>
      <c r="J98" s="111">
        <f t="shared" si="97"/>
        <v>94187.199999999997</v>
      </c>
    </row>
    <row r="99" spans="1:10" x14ac:dyDescent="0.2">
      <c r="A99" s="108" t="s">
        <v>260</v>
      </c>
      <c r="B99" s="116">
        <v>6111</v>
      </c>
      <c r="C99" s="96" t="s">
        <v>56</v>
      </c>
      <c r="D99" s="97" t="s">
        <v>60</v>
      </c>
      <c r="E99" s="98" t="s">
        <v>62</v>
      </c>
      <c r="F99" s="99">
        <f>+(215*8)*4</f>
        <v>6880</v>
      </c>
      <c r="G99" s="99">
        <v>13.99</v>
      </c>
      <c r="H99" s="2">
        <f t="shared" si="95"/>
        <v>96251.199999999997</v>
      </c>
      <c r="I99" s="2">
        <f t="shared" si="96"/>
        <v>17.940000000000001</v>
      </c>
      <c r="J99" s="111">
        <f t="shared" si="97"/>
        <v>123427.2</v>
      </c>
    </row>
    <row r="100" spans="1:10" x14ac:dyDescent="0.2">
      <c r="A100" s="108" t="s">
        <v>266</v>
      </c>
      <c r="B100" s="96" t="s">
        <v>64</v>
      </c>
      <c r="C100" s="96" t="s">
        <v>56</v>
      </c>
      <c r="D100" s="97" t="s">
        <v>61</v>
      </c>
      <c r="E100" s="98" t="s">
        <v>62</v>
      </c>
      <c r="F100" s="99">
        <f>40*8</f>
        <v>320</v>
      </c>
      <c r="G100" s="99">
        <v>21.35</v>
      </c>
      <c r="H100" s="2">
        <f t="shared" ref="H100" si="104">ROUND((+F100*G100),2)</f>
        <v>6832</v>
      </c>
      <c r="I100" s="2">
        <f t="shared" ref="I100" si="105">ROUND((G100*$J$2)+G100,2)</f>
        <v>27.38</v>
      </c>
      <c r="J100" s="111">
        <f t="shared" ref="J100" si="106">ROUND((F100*I100),2)</f>
        <v>8761.6</v>
      </c>
    </row>
    <row r="101" spans="1:10" x14ac:dyDescent="0.2">
      <c r="A101" s="108" t="s">
        <v>271</v>
      </c>
      <c r="B101" s="96" t="s">
        <v>65</v>
      </c>
      <c r="C101" s="96" t="s">
        <v>56</v>
      </c>
      <c r="D101" s="97" t="s">
        <v>66</v>
      </c>
      <c r="E101" s="98" t="s">
        <v>62</v>
      </c>
      <c r="F101" s="99">
        <f>(40*8)*2</f>
        <v>640</v>
      </c>
      <c r="G101" s="99">
        <v>16.09</v>
      </c>
      <c r="H101" s="2">
        <f t="shared" ref="H101" si="107">ROUND((+F101*G101),2)</f>
        <v>10297.6</v>
      </c>
      <c r="I101" s="2">
        <f t="shared" ref="I101" si="108">ROUND((G101*$J$2)+G101,2)</f>
        <v>20.63</v>
      </c>
      <c r="J101" s="111">
        <f t="shared" ref="J101" si="109">ROUND((F101*I101),2)</f>
        <v>13203.2</v>
      </c>
    </row>
    <row r="102" spans="1:10" ht="15" customHeight="1" x14ac:dyDescent="0.2">
      <c r="A102" s="207" t="s">
        <v>43</v>
      </c>
      <c r="B102" s="208"/>
      <c r="C102" s="208"/>
      <c r="D102" s="208"/>
      <c r="E102" s="208"/>
      <c r="F102" s="208"/>
      <c r="G102" s="208"/>
      <c r="H102" s="208"/>
      <c r="I102" s="209"/>
      <c r="J102" s="109">
        <f>SUM(J93:J101)</f>
        <v>529717.39</v>
      </c>
    </row>
    <row r="103" spans="1:10" ht="15" customHeight="1" x14ac:dyDescent="0.2">
      <c r="D103" s="32"/>
      <c r="H103" s="28"/>
      <c r="I103" s="27"/>
      <c r="J103" s="4"/>
    </row>
    <row r="104" spans="1:10" ht="11.25" customHeight="1" x14ac:dyDescent="0.2">
      <c r="A104" s="211" t="s">
        <v>312</v>
      </c>
      <c r="B104" s="211"/>
      <c r="C104" s="211"/>
      <c r="D104" s="211"/>
      <c r="E104" s="211"/>
      <c r="F104" s="211"/>
      <c r="G104" s="211"/>
      <c r="H104" s="211"/>
      <c r="I104" s="211"/>
      <c r="J104" s="211"/>
    </row>
    <row r="105" spans="1:10" ht="11.25" customHeight="1" x14ac:dyDescent="0.2">
      <c r="A105" s="211"/>
      <c r="B105" s="211"/>
      <c r="C105" s="211"/>
      <c r="D105" s="211"/>
      <c r="E105" s="211"/>
      <c r="F105" s="211"/>
      <c r="G105" s="211"/>
      <c r="H105" s="211"/>
      <c r="I105" s="211"/>
      <c r="J105" s="211"/>
    </row>
    <row r="106" spans="1:10" ht="11.25" customHeight="1" x14ac:dyDescent="0.2">
      <c r="A106" s="211"/>
      <c r="B106" s="211"/>
      <c r="C106" s="211"/>
      <c r="D106" s="211"/>
      <c r="E106" s="211"/>
      <c r="F106" s="211"/>
      <c r="G106" s="211"/>
      <c r="H106" s="211"/>
      <c r="I106" s="211"/>
      <c r="J106" s="211"/>
    </row>
    <row r="107" spans="1:10" ht="54" customHeight="1" x14ac:dyDescent="0.2">
      <c r="A107" s="211"/>
      <c r="B107" s="211"/>
      <c r="C107" s="211"/>
      <c r="D107" s="211"/>
      <c r="E107" s="211"/>
      <c r="F107" s="211"/>
      <c r="G107" s="211"/>
      <c r="H107" s="211"/>
      <c r="I107" s="211"/>
      <c r="J107" s="211"/>
    </row>
    <row r="108" spans="1:10" ht="14.25" x14ac:dyDescent="0.2">
      <c r="D108" s="32"/>
      <c r="E108" s="3"/>
      <c r="F108" s="171"/>
      <c r="I108" s="31"/>
    </row>
    <row r="109" spans="1:10" x14ac:dyDescent="0.2">
      <c r="E109" s="3"/>
      <c r="F109" s="171"/>
      <c r="I109" s="31"/>
    </row>
    <row r="110" spans="1:10" ht="15" x14ac:dyDescent="0.2">
      <c r="D110" s="19"/>
      <c r="E110" s="3"/>
      <c r="F110" s="171"/>
      <c r="I110" s="31"/>
    </row>
    <row r="111" spans="1:10" ht="14.25" x14ac:dyDescent="0.2">
      <c r="D111" s="20"/>
      <c r="E111" s="3"/>
      <c r="F111" s="171"/>
      <c r="I111" s="31"/>
    </row>
    <row r="112" spans="1:10" x14ac:dyDescent="0.2">
      <c r="D112" s="21"/>
      <c r="E112" s="3"/>
      <c r="F112" s="171"/>
      <c r="I112" s="31"/>
    </row>
    <row r="113" spans="4:15" x14ac:dyDescent="0.2">
      <c r="D113" s="21"/>
      <c r="E113" s="3"/>
      <c r="F113" s="171"/>
      <c r="I113" s="31"/>
    </row>
    <row r="114" spans="4:15" ht="14.25" x14ac:dyDescent="0.2">
      <c r="D114" s="43"/>
      <c r="E114" s="44"/>
      <c r="F114" s="172"/>
      <c r="G114" s="45"/>
      <c r="H114" s="28"/>
    </row>
    <row r="115" spans="4:15" ht="18" x14ac:dyDescent="0.2">
      <c r="D115" s="43"/>
      <c r="E115" s="44"/>
      <c r="F115" s="172"/>
      <c r="G115" s="46"/>
      <c r="H115" s="28"/>
      <c r="J115" s="67"/>
      <c r="K115" s="67"/>
      <c r="L115" s="67"/>
      <c r="M115" s="87"/>
      <c r="N115" s="67"/>
      <c r="O115" s="67"/>
    </row>
    <row r="116" spans="4:15" ht="15.75" x14ac:dyDescent="0.2">
      <c r="D116" s="43"/>
      <c r="E116" s="44"/>
      <c r="F116" s="172"/>
      <c r="G116" s="46"/>
      <c r="H116" s="28"/>
      <c r="J116" s="68"/>
      <c r="K116" s="68"/>
      <c r="L116" s="68"/>
      <c r="M116" s="88"/>
      <c r="N116" s="68"/>
      <c r="O116" s="68"/>
    </row>
    <row r="117" spans="4:15" ht="15" x14ac:dyDescent="0.2">
      <c r="F117" s="173"/>
      <c r="G117" s="47"/>
      <c r="H117" s="28"/>
      <c r="J117" s="66"/>
      <c r="K117" s="66"/>
      <c r="L117" s="66"/>
      <c r="M117" s="89"/>
      <c r="N117" s="66"/>
      <c r="O117" s="66"/>
    </row>
    <row r="118" spans="4:15" ht="15" x14ac:dyDescent="0.2">
      <c r="D118" s="48"/>
      <c r="E118" s="49"/>
      <c r="F118" s="174"/>
      <c r="G118" s="47"/>
      <c r="H118" s="28"/>
      <c r="J118" s="65"/>
      <c r="K118" s="65"/>
      <c r="L118" s="65"/>
      <c r="M118" s="90"/>
      <c r="N118" s="65"/>
      <c r="O118" s="61"/>
    </row>
    <row r="119" spans="4:15" ht="15" x14ac:dyDescent="0.2">
      <c r="F119" s="173"/>
      <c r="G119" s="47"/>
      <c r="H119" s="28"/>
      <c r="J119" s="65"/>
      <c r="K119" s="65"/>
      <c r="L119" s="65"/>
      <c r="M119" s="90"/>
      <c r="N119" s="65"/>
      <c r="O119" s="62"/>
    </row>
    <row r="120" spans="4:15" ht="35.25" customHeight="1" x14ac:dyDescent="0.2">
      <c r="D120" s="210"/>
      <c r="E120" s="210"/>
      <c r="F120" s="210"/>
      <c r="G120" s="210"/>
      <c r="H120" s="210"/>
      <c r="J120" s="65"/>
      <c r="K120" s="65"/>
      <c r="L120" s="65"/>
      <c r="M120" s="90"/>
      <c r="N120" s="65"/>
      <c r="O120" s="62"/>
    </row>
    <row r="121" spans="4:15" ht="41.25" customHeight="1" x14ac:dyDescent="0.2">
      <c r="D121" s="50"/>
      <c r="E121" s="32"/>
      <c r="F121" s="175"/>
      <c r="G121" s="51"/>
      <c r="H121" s="28"/>
      <c r="J121" s="65"/>
      <c r="K121" s="65"/>
      <c r="L121" s="65"/>
      <c r="M121" s="90"/>
      <c r="N121" s="65"/>
      <c r="O121" s="63"/>
    </row>
    <row r="122" spans="4:15" ht="27" customHeight="1" x14ac:dyDescent="0.2">
      <c r="D122" s="50"/>
      <c r="E122" s="32"/>
      <c r="F122" s="175"/>
      <c r="G122" s="52"/>
      <c r="H122" s="28"/>
      <c r="J122" s="65"/>
      <c r="K122" s="65"/>
      <c r="L122" s="65"/>
      <c r="M122" s="90"/>
      <c r="N122" s="65"/>
      <c r="O122" s="63"/>
    </row>
    <row r="123" spans="4:15" ht="27" customHeight="1" x14ac:dyDescent="0.2">
      <c r="D123" s="50"/>
      <c r="E123" s="32"/>
      <c r="F123" s="175"/>
      <c r="G123" s="51"/>
      <c r="H123" s="28"/>
      <c r="J123" s="65"/>
      <c r="K123" s="65"/>
      <c r="L123" s="65"/>
      <c r="M123" s="90"/>
      <c r="N123" s="65"/>
      <c r="O123" s="64"/>
    </row>
    <row r="124" spans="4:15" ht="27" customHeight="1" x14ac:dyDescent="0.2">
      <c r="D124" s="50"/>
      <c r="E124" s="32"/>
      <c r="F124" s="175"/>
      <c r="G124" s="51"/>
      <c r="H124" s="28"/>
      <c r="J124" s="65"/>
      <c r="K124" s="65"/>
      <c r="L124" s="65"/>
      <c r="M124" s="90"/>
      <c r="N124" s="65"/>
      <c r="O124" s="64"/>
    </row>
    <row r="125" spans="4:15" ht="30" customHeight="1" x14ac:dyDescent="0.2">
      <c r="D125" s="50"/>
      <c r="E125" s="32"/>
      <c r="F125" s="175"/>
      <c r="G125" s="52"/>
      <c r="H125" s="28"/>
      <c r="J125" s="65"/>
      <c r="K125" s="65"/>
      <c r="L125" s="65"/>
      <c r="M125" s="90"/>
      <c r="N125" s="65"/>
      <c r="O125" s="64"/>
    </row>
    <row r="126" spans="4:15" x14ac:dyDescent="0.2">
      <c r="F126" s="173"/>
      <c r="G126" s="47"/>
      <c r="H126" s="28"/>
    </row>
    <row r="127" spans="4:15" ht="38.25" customHeight="1" x14ac:dyDescent="0.2">
      <c r="D127" s="210"/>
      <c r="E127" s="210"/>
      <c r="F127" s="210"/>
      <c r="G127" s="210"/>
      <c r="H127" s="210"/>
    </row>
    <row r="128" spans="4:15" ht="14.25" x14ac:dyDescent="0.2">
      <c r="D128" s="50"/>
      <c r="E128" s="32"/>
      <c r="F128" s="175"/>
      <c r="G128" s="52"/>
      <c r="H128" s="53"/>
    </row>
    <row r="129" spans="3:8" ht="14.25" x14ac:dyDescent="0.2">
      <c r="D129" s="50"/>
      <c r="E129" s="32"/>
      <c r="F129" s="175"/>
      <c r="G129" s="51"/>
      <c r="H129" s="53"/>
    </row>
    <row r="130" spans="3:8" x14ac:dyDescent="0.2">
      <c r="F130" s="173"/>
      <c r="G130" s="47"/>
      <c r="H130" s="28"/>
    </row>
    <row r="131" spans="3:8" x14ac:dyDescent="0.2">
      <c r="F131" s="173"/>
      <c r="G131" s="47"/>
      <c r="H131" s="28"/>
    </row>
    <row r="132" spans="3:8" x14ac:dyDescent="0.2">
      <c r="F132" s="173"/>
      <c r="G132" s="47"/>
      <c r="H132" s="28"/>
    </row>
    <row r="133" spans="3:8" ht="15" x14ac:dyDescent="0.2">
      <c r="C133" s="54"/>
      <c r="D133" s="55"/>
      <c r="E133" s="54"/>
      <c r="F133" s="176"/>
      <c r="G133" s="46"/>
      <c r="H133" s="28"/>
    </row>
    <row r="134" spans="3:8" x14ac:dyDescent="0.2">
      <c r="F134" s="173"/>
      <c r="G134" s="47"/>
      <c r="H134" s="28"/>
    </row>
    <row r="135" spans="3:8" x14ac:dyDescent="0.2">
      <c r="F135" s="173"/>
      <c r="G135" s="47"/>
      <c r="H135" s="28"/>
    </row>
    <row r="136" spans="3:8" ht="73.5" customHeight="1" x14ac:dyDescent="0.2">
      <c r="D136" s="56"/>
      <c r="E136" s="57"/>
      <c r="F136" s="177"/>
      <c r="G136" s="58"/>
      <c r="H136" s="59"/>
    </row>
    <row r="137" spans="3:8" x14ac:dyDescent="0.2">
      <c r="D137" s="56"/>
      <c r="E137" s="57"/>
      <c r="F137" s="177"/>
      <c r="G137" s="58"/>
      <c r="H137" s="59"/>
    </row>
    <row r="138" spans="3:8" x14ac:dyDescent="0.2">
      <c r="F138" s="173"/>
      <c r="G138" s="47"/>
      <c r="H138" s="28"/>
    </row>
    <row r="139" spans="3:8" x14ac:dyDescent="0.2">
      <c r="D139" s="56"/>
      <c r="E139" s="57"/>
      <c r="F139" s="177"/>
      <c r="G139" s="60"/>
      <c r="H139" s="28"/>
    </row>
    <row r="140" spans="3:8" x14ac:dyDescent="0.2">
      <c r="D140" s="56"/>
      <c r="E140" s="57"/>
      <c r="F140" s="177"/>
      <c r="G140" s="60"/>
      <c r="H140" s="28"/>
    </row>
    <row r="141" spans="3:8" x14ac:dyDescent="0.2">
      <c r="D141" s="56"/>
      <c r="E141" s="57"/>
      <c r="F141" s="177"/>
      <c r="G141" s="60"/>
      <c r="H141" s="28"/>
    </row>
    <row r="142" spans="3:8" x14ac:dyDescent="0.2">
      <c r="F142" s="173"/>
      <c r="G142" s="47"/>
      <c r="H142" s="28"/>
    </row>
    <row r="143" spans="3:8" x14ac:dyDescent="0.2">
      <c r="F143" s="173"/>
      <c r="G143" s="47"/>
      <c r="H143" s="28"/>
    </row>
    <row r="144" spans="3:8" ht="15" x14ac:dyDescent="0.25">
      <c r="C144"/>
      <c r="D144" s="41"/>
      <c r="E144" s="42"/>
      <c r="F144" s="173"/>
      <c r="G144" s="47"/>
      <c r="H144" s="28"/>
    </row>
    <row r="146" spans="3:7" ht="15" x14ac:dyDescent="0.25">
      <c r="C146"/>
      <c r="D146"/>
      <c r="G146"/>
    </row>
    <row r="148" spans="3:7" ht="15" x14ac:dyDescent="0.25">
      <c r="C148" s="42"/>
      <c r="D148" s="41"/>
      <c r="E148"/>
    </row>
  </sheetData>
  <mergeCells count="17">
    <mergeCell ref="A91:I91"/>
    <mergeCell ref="A102:I102"/>
    <mergeCell ref="D127:H127"/>
    <mergeCell ref="A104:J107"/>
    <mergeCell ref="D120:H120"/>
    <mergeCell ref="A1:E3"/>
    <mergeCell ref="F1:J1"/>
    <mergeCell ref="A4:A5"/>
    <mergeCell ref="D4:D5"/>
    <mergeCell ref="E4:E5"/>
    <mergeCell ref="F4:F5"/>
    <mergeCell ref="G4:H4"/>
    <mergeCell ref="I4:J4"/>
    <mergeCell ref="B4:C4"/>
    <mergeCell ref="B5:C5"/>
    <mergeCell ref="F2:H2"/>
    <mergeCell ref="F3:G3"/>
  </mergeCells>
  <phoneticPr fontId="10" type="noConversion"/>
  <printOptions horizontalCentered="1"/>
  <pageMargins left="0" right="0" top="0" bottom="0" header="0" footer="0"/>
  <pageSetup paperSize="9" scale="4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738A7B-5B94-4E1B-9439-DB050D7AE58C}">
  <sheetPr>
    <pageSetUpPr fitToPage="1"/>
  </sheetPr>
  <dimension ref="A1:L105"/>
  <sheetViews>
    <sheetView topLeftCell="A93" zoomScale="90" zoomScaleNormal="90" workbookViewId="0">
      <selection activeCell="C104" sqref="C104:K104"/>
    </sheetView>
  </sheetViews>
  <sheetFormatPr defaultRowHeight="15" x14ac:dyDescent="0.25"/>
  <cols>
    <col min="1" max="1" width="6.85546875" bestFit="1" customWidth="1"/>
    <col min="2" max="2" width="49.42578125" customWidth="1"/>
    <col min="3" max="3" width="17.42578125" bestFit="1" customWidth="1"/>
    <col min="4" max="5" width="18" bestFit="1" customWidth="1"/>
    <col min="6" max="6" width="20.85546875" bestFit="1" customWidth="1"/>
    <col min="7" max="7" width="17.42578125" bestFit="1" customWidth="1"/>
    <col min="8" max="11" width="20.85546875" bestFit="1" customWidth="1"/>
    <col min="12" max="12" width="18.7109375" bestFit="1" customWidth="1"/>
    <col min="13" max="14" width="25.7109375" bestFit="1" customWidth="1"/>
    <col min="15" max="15" width="23" customWidth="1"/>
    <col min="16" max="16" width="23.7109375" customWidth="1"/>
  </cols>
  <sheetData>
    <row r="1" spans="1:12" ht="20.25" customHeight="1" x14ac:dyDescent="0.25">
      <c r="A1" s="212" t="s">
        <v>302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  <c r="L1" s="33"/>
    </row>
    <row r="2" spans="1:12" ht="18" customHeight="1" x14ac:dyDescent="0.25">
      <c r="A2" s="214" t="s">
        <v>0</v>
      </c>
      <c r="B2" s="215"/>
      <c r="C2" s="215"/>
      <c r="D2" s="215"/>
      <c r="E2" s="215"/>
      <c r="F2" s="215"/>
      <c r="G2" s="215"/>
      <c r="H2" s="215"/>
      <c r="I2" s="215"/>
      <c r="J2" s="215"/>
      <c r="K2" s="215"/>
      <c r="L2" s="33"/>
    </row>
    <row r="3" spans="1:12" ht="15" customHeight="1" x14ac:dyDescent="0.25">
      <c r="A3" s="216"/>
      <c r="B3" s="217"/>
      <c r="C3" s="217"/>
      <c r="D3" s="217"/>
      <c r="E3" s="217"/>
      <c r="F3" s="217"/>
      <c r="G3" s="217"/>
      <c r="H3" s="217"/>
      <c r="I3" s="217"/>
      <c r="J3" s="217"/>
      <c r="K3" s="217"/>
      <c r="L3" s="33"/>
    </row>
    <row r="4" spans="1:12" x14ac:dyDescent="0.25">
      <c r="A4" s="225" t="s">
        <v>49</v>
      </c>
      <c r="B4" s="225" t="s">
        <v>50</v>
      </c>
      <c r="C4" s="218" t="s">
        <v>301</v>
      </c>
      <c r="D4" s="218"/>
      <c r="E4" s="218"/>
      <c r="F4" s="218"/>
      <c r="G4" s="218"/>
      <c r="H4" s="218"/>
      <c r="I4" s="218"/>
      <c r="J4" s="218"/>
      <c r="K4" s="218"/>
      <c r="L4" s="34"/>
    </row>
    <row r="5" spans="1:12" x14ac:dyDescent="0.25">
      <c r="A5" s="226"/>
      <c r="B5" s="226"/>
      <c r="C5" s="69">
        <v>1</v>
      </c>
      <c r="D5" s="69">
        <v>2</v>
      </c>
      <c r="E5" s="69">
        <v>3</v>
      </c>
      <c r="F5" s="69">
        <v>4</v>
      </c>
      <c r="G5" s="69">
        <v>5</v>
      </c>
      <c r="H5" s="69">
        <v>6</v>
      </c>
      <c r="I5" s="101">
        <v>7</v>
      </c>
      <c r="J5" s="69">
        <v>8</v>
      </c>
      <c r="K5" s="101">
        <v>9</v>
      </c>
      <c r="L5" s="34"/>
    </row>
    <row r="6" spans="1:12" x14ac:dyDescent="0.25">
      <c r="A6" s="224"/>
      <c r="B6" s="224"/>
      <c r="C6" s="224"/>
      <c r="D6" s="224"/>
      <c r="E6" s="224"/>
      <c r="F6" s="224"/>
      <c r="G6" s="224"/>
      <c r="H6" s="224"/>
      <c r="I6" s="222"/>
      <c r="J6" s="8"/>
      <c r="K6" s="102"/>
      <c r="L6" s="33"/>
    </row>
    <row r="7" spans="1:12" x14ac:dyDescent="0.25">
      <c r="A7" s="70">
        <v>1</v>
      </c>
      <c r="B7" s="158" t="str">
        <f>'PLANILHA ORÇAMENTARIA'!C7</f>
        <v>COBERTURA</v>
      </c>
      <c r="C7" s="159"/>
      <c r="D7" s="159"/>
      <c r="E7" s="159"/>
      <c r="F7" s="159"/>
      <c r="G7" s="159"/>
      <c r="H7" s="159"/>
      <c r="I7" s="159"/>
      <c r="J7" s="159"/>
      <c r="K7" s="159"/>
      <c r="L7" s="34"/>
    </row>
    <row r="8" spans="1:12" ht="28.5" x14ac:dyDescent="0.25">
      <c r="A8" s="8" t="s">
        <v>33</v>
      </c>
      <c r="B8" s="114" t="str">
        <f>'PLANILHA ORÇAMENTARIA'!D8</f>
        <v>Limpeza de superficie (lajes) com jato de alta presão</v>
      </c>
      <c r="C8" s="82"/>
      <c r="D8" s="82">
        <f>'PLANILHA ORÇAMENTARIA'!J8</f>
        <v>332.39</v>
      </c>
      <c r="E8" s="82"/>
      <c r="F8" s="82"/>
      <c r="G8" s="82"/>
      <c r="H8" s="82"/>
      <c r="I8" s="82"/>
      <c r="J8" s="82"/>
      <c r="K8" s="82"/>
      <c r="L8" s="34"/>
    </row>
    <row r="9" spans="1:12" x14ac:dyDescent="0.25">
      <c r="A9" s="8" t="s">
        <v>34</v>
      </c>
      <c r="B9" s="114" t="str">
        <f>'PLANILHA ORÇAMENTARIA'!D9</f>
        <v>Limpeza de calhas e tubos</v>
      </c>
      <c r="C9" s="82"/>
      <c r="D9" s="82">
        <f>'PLANILHA ORÇAMENTARIA'!J9</f>
        <v>253.15</v>
      </c>
      <c r="E9" s="82"/>
      <c r="F9" s="82"/>
      <c r="G9" s="82"/>
      <c r="H9" s="82"/>
      <c r="I9" s="82"/>
      <c r="J9" s="82"/>
      <c r="K9" s="82"/>
      <c r="L9" s="34"/>
    </row>
    <row r="10" spans="1:12" x14ac:dyDescent="0.25">
      <c r="A10" s="8" t="s">
        <v>36</v>
      </c>
      <c r="B10" s="114" t="str">
        <f>'PLANILHA ORÇAMENTARIA'!D10</f>
        <v>Lixamento manual - Calhas</v>
      </c>
      <c r="C10" s="82"/>
      <c r="D10" s="82">
        <f>'PLANILHA ORÇAMENTARIA'!J10</f>
        <v>3255.71</v>
      </c>
      <c r="E10" s="82"/>
      <c r="F10" s="82"/>
      <c r="G10" s="82"/>
      <c r="H10" s="82"/>
      <c r="I10" s="82"/>
      <c r="J10" s="82"/>
      <c r="K10" s="82"/>
      <c r="L10" s="34"/>
    </row>
    <row r="11" spans="1:12" ht="28.5" x14ac:dyDescent="0.25">
      <c r="A11" s="8" t="s">
        <v>42</v>
      </c>
      <c r="B11" s="114" t="str">
        <f>'PLANILHA ORÇAMENTARIA'!D11</f>
        <v xml:space="preserve">Calafetação das junções e extremidades das calhas e dos parafusos de fixação do telhado </v>
      </c>
      <c r="C11" s="82"/>
      <c r="D11" s="82">
        <f>'PLANILHA ORÇAMENTARIA'!J11</f>
        <v>2483.81</v>
      </c>
      <c r="E11" s="82"/>
      <c r="F11" s="82"/>
      <c r="G11" s="82"/>
      <c r="H11" s="82"/>
      <c r="I11" s="82"/>
      <c r="J11" s="82"/>
      <c r="K11" s="82"/>
      <c r="L11" s="34"/>
    </row>
    <row r="12" spans="1:12" ht="28.5" x14ac:dyDescent="0.25">
      <c r="A12" s="8" t="s">
        <v>37</v>
      </c>
      <c r="B12" s="114" t="str">
        <f>'PLANILHA ORÇAMENTARIA'!D12</f>
        <v>Pintura anticorrosiva a base de óxido de ferro (zarcão) - Calhas</v>
      </c>
      <c r="C12" s="82"/>
      <c r="D12" s="82">
        <f>'PLANILHA ORÇAMENTARIA'!J12</f>
        <v>7881.68</v>
      </c>
      <c r="E12" s="82"/>
      <c r="F12" s="82"/>
      <c r="G12" s="82"/>
      <c r="H12" s="82"/>
      <c r="I12" s="82"/>
      <c r="J12" s="82"/>
      <c r="K12" s="82"/>
      <c r="L12" s="34"/>
    </row>
    <row r="13" spans="1:12" ht="28.5" x14ac:dyDescent="0.25">
      <c r="A13" s="8" t="s">
        <v>39</v>
      </c>
      <c r="B13" s="114" t="str">
        <f>'PLANILHA ORÇAMENTARIA'!D13</f>
        <v>Tratatamento de superfície com trinca/fissura, inclusive fita autoadesiva de poliester</v>
      </c>
      <c r="C13" s="82"/>
      <c r="D13" s="82"/>
      <c r="E13" s="82">
        <f>'PLANILHA ORÇAMENTARIA'!J13</f>
        <v>357.21</v>
      </c>
      <c r="F13" s="82"/>
      <c r="G13" s="82"/>
      <c r="H13" s="82"/>
      <c r="I13" s="82"/>
      <c r="J13" s="82"/>
      <c r="K13" s="82"/>
      <c r="L13" s="34"/>
    </row>
    <row r="14" spans="1:12" x14ac:dyDescent="0.25">
      <c r="A14" s="8" t="s">
        <v>40</v>
      </c>
      <c r="B14" s="114" t="str">
        <f>'PLANILHA ORÇAMENTARIA'!D14</f>
        <v>Fundo preparador</v>
      </c>
      <c r="C14" s="82"/>
      <c r="D14" s="82"/>
      <c r="E14" s="82">
        <f>'PLANILHA ORÇAMENTARIA'!J14</f>
        <v>452.52</v>
      </c>
      <c r="F14" s="82"/>
      <c r="G14" s="82"/>
      <c r="H14" s="82"/>
      <c r="I14" s="82"/>
      <c r="J14" s="82"/>
      <c r="K14" s="82"/>
      <c r="L14" s="34"/>
    </row>
    <row r="15" spans="1:12" x14ac:dyDescent="0.25">
      <c r="A15" s="8" t="s">
        <v>41</v>
      </c>
      <c r="B15" s="114" t="str">
        <f>'PLANILHA ORÇAMENTARIA'!D15</f>
        <v>Diluente</v>
      </c>
      <c r="C15" s="82"/>
      <c r="D15" s="82"/>
      <c r="E15" s="82">
        <f>'PLANILHA ORÇAMENTARIA'!J15</f>
        <v>618.72</v>
      </c>
      <c r="F15" s="82"/>
      <c r="G15" s="82"/>
      <c r="H15" s="82"/>
      <c r="I15" s="82"/>
      <c r="J15" s="82"/>
      <c r="K15" s="82"/>
      <c r="L15" s="34"/>
    </row>
    <row r="16" spans="1:12" x14ac:dyDescent="0.25">
      <c r="A16" s="8" t="s">
        <v>44</v>
      </c>
      <c r="B16" s="114" t="str">
        <f>'PLANILHA ORÇAMENTARIA'!D16</f>
        <v>Impermeabilizante flexivél acrílico, duas demãos</v>
      </c>
      <c r="C16" s="82"/>
      <c r="D16" s="82"/>
      <c r="E16" s="82">
        <f>'PLANILHA ORÇAMENTARIA'!J16</f>
        <v>373.68</v>
      </c>
      <c r="F16" s="82"/>
      <c r="G16" s="82"/>
      <c r="H16" s="82"/>
      <c r="I16" s="82"/>
      <c r="J16" s="82"/>
      <c r="K16" s="82"/>
      <c r="L16" s="34"/>
    </row>
    <row r="17" spans="1:12" ht="28.5" x14ac:dyDescent="0.25">
      <c r="A17" s="8" t="s">
        <v>110</v>
      </c>
      <c r="B17" s="114" t="str">
        <f>'PLANILHA ORÇAMENTARIA'!D17</f>
        <v>Resina acrílica, adicionada na tinta - Impermeabilizante</v>
      </c>
      <c r="C17" s="82"/>
      <c r="D17" s="82"/>
      <c r="E17" s="82">
        <f>'PLANILHA ORÇAMENTARIA'!J17</f>
        <v>263.44</v>
      </c>
      <c r="F17" s="82"/>
      <c r="G17" s="82"/>
      <c r="H17" s="82"/>
      <c r="I17" s="82"/>
      <c r="J17" s="82"/>
      <c r="K17" s="82"/>
      <c r="L17" s="34"/>
    </row>
    <row r="18" spans="1:12" ht="28.5" x14ac:dyDescent="0.25">
      <c r="A18" s="8" t="s">
        <v>111</v>
      </c>
      <c r="B18" s="114" t="str">
        <f>'PLANILHA ORÇAMENTARIA'!D18</f>
        <v>Pintura epóxi em piso, duas demãos, inclusive uma demão de primer epóxi - cinza</v>
      </c>
      <c r="C18" s="82"/>
      <c r="D18" s="82"/>
      <c r="E18" s="82">
        <f>'PLANILHA ORÇAMENTARIA'!J18</f>
        <v>10893.58</v>
      </c>
      <c r="F18" s="82"/>
      <c r="G18" s="82"/>
      <c r="H18" s="82"/>
      <c r="I18" s="82"/>
      <c r="J18" s="82"/>
      <c r="K18" s="82"/>
      <c r="L18" s="34"/>
    </row>
    <row r="19" spans="1:12" ht="28.5" x14ac:dyDescent="0.25">
      <c r="A19" s="8" t="s">
        <v>112</v>
      </c>
      <c r="B19" s="114" t="str">
        <f>'PLANILHA ORÇAMENTARIA'!D19</f>
        <v>Instalação de rufo e contra rufo de chapa galvanizada inclusive içamento vertical</v>
      </c>
      <c r="C19" s="82"/>
      <c r="D19" s="82"/>
      <c r="E19" s="82">
        <f>'PLANILHA ORÇAMENTARIA'!J19</f>
        <v>14712.14</v>
      </c>
      <c r="F19" s="82"/>
      <c r="G19" s="82"/>
      <c r="H19" s="82"/>
      <c r="I19" s="82"/>
      <c r="J19" s="82"/>
      <c r="K19" s="82"/>
      <c r="L19" s="34"/>
    </row>
    <row r="20" spans="1:12" ht="28.5" x14ac:dyDescent="0.25">
      <c r="A20" s="8" t="s">
        <v>113</v>
      </c>
      <c r="B20" s="114" t="str">
        <f>'PLANILHA ORÇAMENTARIA'!D20</f>
        <v>Calafetação dos chapuzes com Poliuretano tipo 36 nas juntas - telhado</v>
      </c>
      <c r="C20" s="82"/>
      <c r="D20" s="82"/>
      <c r="E20" s="82">
        <f>'PLANILHA ORÇAMENTARIA'!J20</f>
        <v>175.14</v>
      </c>
      <c r="F20" s="82"/>
      <c r="G20" s="82"/>
      <c r="H20" s="82"/>
      <c r="I20" s="82"/>
      <c r="J20" s="82"/>
      <c r="K20" s="82"/>
      <c r="L20" s="34"/>
    </row>
    <row r="21" spans="1:12" ht="57" x14ac:dyDescent="0.25">
      <c r="A21" s="8" t="s">
        <v>114</v>
      </c>
      <c r="B21" s="114" t="str">
        <f>'PLANILHA ORÇAMENTARIA'!D21</f>
        <v xml:space="preserve">Remoção manual de telha metálica, com reaproveitamento, inclusive afastamento, empilhamento e instalação - Área de circulação próximo a escada fundos </v>
      </c>
      <c r="C21" s="82"/>
      <c r="D21" s="82">
        <f>'PLANILHA ORÇAMENTARIA'!J21</f>
        <v>358.33</v>
      </c>
      <c r="E21" s="82"/>
      <c r="F21" s="82"/>
      <c r="G21" s="82"/>
      <c r="H21" s="82"/>
      <c r="I21" s="82"/>
      <c r="J21" s="82"/>
      <c r="K21" s="82"/>
      <c r="L21" s="84"/>
    </row>
    <row r="22" spans="1:12" ht="42.75" x14ac:dyDescent="0.25">
      <c r="A22" s="8" t="s">
        <v>115</v>
      </c>
      <c r="B22" s="114" t="str">
        <f>'PLANILHA ORÇAMENTARIA'!D22</f>
        <v>Remoção manual de forro de placas (metálica perfurada) com reaproveitamento, inclusive afastamento, empilhamento e instalação</v>
      </c>
      <c r="C22" s="82"/>
      <c r="D22" s="82">
        <f>'PLANILHA ORÇAMENTARIA'!J22</f>
        <v>406.88</v>
      </c>
      <c r="E22" s="82"/>
      <c r="F22" s="82"/>
      <c r="G22" s="82"/>
      <c r="H22" s="82"/>
      <c r="I22" s="82"/>
      <c r="J22" s="82"/>
      <c r="K22" s="82"/>
      <c r="L22" s="84"/>
    </row>
    <row r="23" spans="1:12" ht="42.75" x14ac:dyDescent="0.25">
      <c r="A23" s="8" t="s">
        <v>140</v>
      </c>
      <c r="B23" s="114" t="str">
        <f>'PLANILHA ORÇAMENTARIA'!D23</f>
        <v>Calafetação dos chapins, localizados nas extremidades da laje central da edificação, vedação das juntas</v>
      </c>
      <c r="C23" s="82"/>
      <c r="D23" s="82"/>
      <c r="E23" s="82">
        <f>'PLANILHA ORÇAMENTARIA'!J23</f>
        <v>27.68</v>
      </c>
      <c r="F23" s="82"/>
      <c r="G23" s="82"/>
      <c r="H23" s="82"/>
      <c r="I23" s="82"/>
      <c r="J23" s="82"/>
      <c r="K23" s="82"/>
      <c r="L23" s="84"/>
    </row>
    <row r="24" spans="1:12" ht="42.75" x14ac:dyDescent="0.25">
      <c r="A24" s="8" t="s">
        <v>141</v>
      </c>
      <c r="B24" s="114" t="str">
        <f>'PLANILHA ORÇAMENTARIA'!D24</f>
        <v>Demolição manual de ladrilho (laje), inclusive afastamento e empilhamento - Escada central e bloco localizado aos fundos</v>
      </c>
      <c r="C24" s="82">
        <f>'PLANILHA ORÇAMENTARIA'!J24</f>
        <v>1310.93</v>
      </c>
      <c r="D24" s="82"/>
      <c r="E24" s="82"/>
      <c r="F24" s="82"/>
      <c r="G24" s="82"/>
      <c r="H24" s="82"/>
      <c r="I24" s="82"/>
      <c r="J24" s="82"/>
      <c r="K24" s="82"/>
      <c r="L24" s="84"/>
    </row>
    <row r="25" spans="1:12" ht="42.75" x14ac:dyDescent="0.25">
      <c r="A25" s="8" t="s">
        <v>142</v>
      </c>
      <c r="B25" s="114" t="str">
        <f>'PLANILHA ORÇAMENTARIA'!D25</f>
        <v>Contrapiso em laje (ladrilho) com inclinação, de 2% a 3%, desempenado com argamassa, traço 1:3 esp.20mm</v>
      </c>
      <c r="C25" s="82">
        <f>'PLANILHA ORÇAMENTARIA'!J25</f>
        <v>2940.01</v>
      </c>
      <c r="D25" s="82"/>
      <c r="E25" s="82"/>
      <c r="F25" s="82"/>
      <c r="G25" s="82"/>
      <c r="H25" s="82"/>
      <c r="I25" s="82"/>
      <c r="J25" s="82"/>
      <c r="K25" s="82"/>
      <c r="L25" s="84"/>
    </row>
    <row r="26" spans="1:12" ht="57" x14ac:dyDescent="0.25">
      <c r="A26" s="8" t="s">
        <v>143</v>
      </c>
      <c r="B26" s="114" t="str">
        <f>'PLANILHA ORÇAMENTARIA'!D26</f>
        <v>Chapins / pingadeira, em granito São gabriel, assentado com argamasa 1:6 com aditivo Extremidade das lajes presente proximo a caixa de escada de fundos</v>
      </c>
      <c r="C26" s="82"/>
      <c r="D26" s="82">
        <f>'PLANILHA ORÇAMENTARIA'!J26</f>
        <v>3819.82</v>
      </c>
      <c r="E26" s="82"/>
      <c r="F26" s="82"/>
      <c r="G26" s="82"/>
      <c r="H26" s="82"/>
      <c r="I26" s="82"/>
      <c r="J26" s="82"/>
      <c r="K26" s="82"/>
      <c r="L26" s="84"/>
    </row>
    <row r="27" spans="1:12" ht="57" x14ac:dyDescent="0.25">
      <c r="A27" s="8" t="s">
        <v>144</v>
      </c>
      <c r="B27" s="114" t="str">
        <f>'PLANILHA ORÇAMENTARIA'!D27</f>
        <v>Pintura epóxi em piso, duas demãos, inclusive uma demão de primer epóxi e preparação da superfície com argamassa autonivelante, esp.4mm - Cor Azul (Padrão CMPM)</v>
      </c>
      <c r="C27" s="82"/>
      <c r="D27" s="82"/>
      <c r="E27" s="82">
        <f>'PLANILHA ORÇAMENTARIA'!J27</f>
        <v>5147.45</v>
      </c>
      <c r="F27" s="82"/>
      <c r="G27" s="82"/>
      <c r="H27" s="82"/>
      <c r="I27" s="82"/>
      <c r="J27" s="82"/>
      <c r="K27" s="82"/>
      <c r="L27" s="84"/>
    </row>
    <row r="28" spans="1:12" ht="57" x14ac:dyDescent="0.25">
      <c r="A28" s="8" t="s">
        <v>145</v>
      </c>
      <c r="B28" s="114" t="str">
        <f>'PLANILHA ORÇAMENTARIA'!D28</f>
        <v>Pintura epóxi em piso, duas demãos, inclusive uma demão de primer epóxi e preparação da superfície com argamassa autonivelante, esp.4mm - Cor Verde (Padrão CMPM)</v>
      </c>
      <c r="C28" s="82"/>
      <c r="D28" s="82"/>
      <c r="E28" s="82">
        <f>'PLANILHA ORÇAMENTARIA'!J28</f>
        <v>2623.7</v>
      </c>
      <c r="F28" s="82"/>
      <c r="G28" s="82"/>
      <c r="H28" s="82"/>
      <c r="I28" s="82"/>
      <c r="J28" s="82"/>
      <c r="K28" s="82"/>
      <c r="L28" s="84"/>
    </row>
    <row r="29" spans="1:12" ht="57" x14ac:dyDescent="0.25">
      <c r="A29" s="8" t="s">
        <v>291</v>
      </c>
      <c r="B29" s="114" t="str">
        <f>'PLANILHA ORÇAMENTARIA'!D29</f>
        <v>Fornecimento e instalação de fechamento de gradil em tela galvanizada, com trama losangular de 2x2", fio BWG 14, com módulo, inclusive pintura esmalte com duas demãos - Cor branca</v>
      </c>
      <c r="C29" s="82"/>
      <c r="D29" s="82">
        <f>'PLANILHA ORÇAMENTARIA'!J29</f>
        <v>444.55</v>
      </c>
      <c r="E29" s="82"/>
      <c r="F29" s="82"/>
      <c r="G29" s="82"/>
      <c r="H29" s="82"/>
      <c r="I29" s="82"/>
      <c r="J29" s="82"/>
      <c r="K29" s="82"/>
      <c r="L29" s="84"/>
    </row>
    <row r="30" spans="1:12" ht="28.5" x14ac:dyDescent="0.25">
      <c r="A30" s="8" t="s">
        <v>292</v>
      </c>
      <c r="B30" s="114" t="str">
        <f>'PLANILHA ORÇAMENTARIA'!D30</f>
        <v>Abertura para portão em grade, com módulo, inclusive pintura com duas demãos - Cor branca</v>
      </c>
      <c r="C30" s="82"/>
      <c r="D30" s="82">
        <f>'PLANILHA ORÇAMENTARIA'!J30</f>
        <v>410.13</v>
      </c>
      <c r="E30" s="82"/>
      <c r="F30" s="82"/>
      <c r="G30" s="82"/>
      <c r="H30" s="82"/>
      <c r="I30" s="82"/>
      <c r="J30" s="82"/>
      <c r="K30" s="82"/>
      <c r="L30" s="84"/>
    </row>
    <row r="31" spans="1:12" x14ac:dyDescent="0.25">
      <c r="A31" s="70">
        <v>2</v>
      </c>
      <c r="B31" s="142" t="str">
        <f>'PLANILHA ORÇAMENTARIA'!C31</f>
        <v>TERRAÇO PANORÂMICO - 5º PAVIMENTO</v>
      </c>
      <c r="C31" s="156"/>
      <c r="D31" s="156"/>
      <c r="E31" s="156"/>
      <c r="F31" s="156"/>
      <c r="G31" s="156"/>
      <c r="H31" s="156"/>
      <c r="I31" s="156"/>
      <c r="J31" s="156"/>
      <c r="K31" s="156"/>
      <c r="L31" s="84"/>
    </row>
    <row r="32" spans="1:12" ht="28.5" x14ac:dyDescent="0.25">
      <c r="A32" s="8" t="s">
        <v>16</v>
      </c>
      <c r="B32" s="83" t="str">
        <f>'PLANILHA ORÇAMENTARIA'!D32</f>
        <v>Demolição de revestimento inclusive afastamento e empilhamento</v>
      </c>
      <c r="C32" s="82">
        <f>'PLANILHA ORÇAMENTARIA'!J32</f>
        <v>11016.04</v>
      </c>
      <c r="D32" s="82"/>
      <c r="E32" s="82"/>
      <c r="F32" s="82"/>
      <c r="G32" s="82"/>
      <c r="H32" s="82"/>
      <c r="I32" s="102"/>
      <c r="J32" s="82"/>
      <c r="K32" s="103"/>
      <c r="L32" s="84"/>
    </row>
    <row r="33" spans="1:12" ht="28.5" x14ac:dyDescent="0.25">
      <c r="A33" s="8" t="s">
        <v>18</v>
      </c>
      <c r="B33" s="83" t="str">
        <f>'PLANILHA ORÇAMENTARIA'!D33</f>
        <v>Demolição de rodapés e argamassa de assentamento e afastamento</v>
      </c>
      <c r="C33" s="82">
        <f>'PLANILHA ORÇAMENTARIA'!J33</f>
        <v>382.57</v>
      </c>
      <c r="D33" s="82"/>
      <c r="E33" s="82"/>
      <c r="F33" s="82"/>
      <c r="G33" s="82"/>
      <c r="H33" s="82"/>
      <c r="I33" s="102"/>
      <c r="J33" s="82"/>
      <c r="K33" s="103"/>
      <c r="L33" s="84"/>
    </row>
    <row r="34" spans="1:12" ht="42.75" x14ac:dyDescent="0.25">
      <c r="A34" s="8" t="s">
        <v>20</v>
      </c>
      <c r="B34" s="83" t="str">
        <f>'PLANILHA ORÇAMENTARIA'!D34</f>
        <v>Adequação de profundidade, demolição manual de contrapiso, das grelhas coletoras de água pluvial</v>
      </c>
      <c r="C34" s="82">
        <f>'PLANILHA ORÇAMENTARIA'!J34</f>
        <v>476.3</v>
      </c>
      <c r="D34" s="82"/>
      <c r="E34" s="82"/>
      <c r="F34" s="82"/>
      <c r="G34" s="82"/>
      <c r="H34" s="82"/>
      <c r="I34" s="102"/>
      <c r="J34" s="82"/>
      <c r="K34" s="103"/>
      <c r="L34" s="84"/>
    </row>
    <row r="35" spans="1:12" ht="42.75" x14ac:dyDescent="0.25">
      <c r="A35" s="8" t="s">
        <v>51</v>
      </c>
      <c r="B35" s="83" t="str">
        <f>'PLANILHA ORÇAMENTARIA'!D35</f>
        <v>Demolição mecanizada de concreto, sem armação, com equipamento elétrico, inclusive afastamento e empilhamento</v>
      </c>
      <c r="C35" s="82">
        <f>'PLANILHA ORÇAMENTARIA'!J35</f>
        <v>4813.4799999999996</v>
      </c>
      <c r="D35" s="82"/>
      <c r="E35" s="82"/>
      <c r="F35" s="82"/>
      <c r="G35" s="82"/>
      <c r="H35" s="82"/>
      <c r="I35" s="102"/>
      <c r="J35" s="82"/>
      <c r="K35" s="103"/>
      <c r="L35" s="84"/>
    </row>
    <row r="36" spans="1:12" x14ac:dyDescent="0.25">
      <c r="A36" s="8" t="s">
        <v>52</v>
      </c>
      <c r="B36" s="83" t="str">
        <f>'PLANILHA ORÇAMENTARIA'!D36</f>
        <v>Limpeza de resíduos - Contrapiso</v>
      </c>
      <c r="C36" s="82">
        <f>'PLANILHA ORÇAMENTARIA'!J36</f>
        <v>1904.45</v>
      </c>
      <c r="D36" s="82"/>
      <c r="E36" s="82"/>
      <c r="F36" s="82"/>
      <c r="G36" s="82"/>
      <c r="H36" s="82"/>
      <c r="I36" s="102"/>
      <c r="J36" s="82"/>
      <c r="K36" s="103"/>
      <c r="L36" s="84"/>
    </row>
    <row r="37" spans="1:12" ht="28.5" x14ac:dyDescent="0.25">
      <c r="A37" s="8" t="s">
        <v>85</v>
      </c>
      <c r="B37" s="83" t="str">
        <f>'PLANILHA ORÇAMENTARIA'!D37</f>
        <v>Contrapiso desempenado com argamassa, com inclinação para escoamento - Traço 1:3</v>
      </c>
      <c r="C37" s="82"/>
      <c r="D37" s="82">
        <f>'PLANILHA ORÇAMENTARIA'!J37/2-0.005</f>
        <v>16499.91</v>
      </c>
      <c r="E37" s="82">
        <v>16499.919999999998</v>
      </c>
      <c r="F37" s="82"/>
      <c r="G37" s="82"/>
      <c r="H37" s="82"/>
      <c r="I37" s="102"/>
      <c r="J37" s="82"/>
      <c r="K37" s="103"/>
      <c r="L37" s="84"/>
    </row>
    <row r="38" spans="1:12" ht="28.5" x14ac:dyDescent="0.25">
      <c r="A38" s="8" t="s">
        <v>87</v>
      </c>
      <c r="B38" s="83" t="str">
        <f>'PLANILHA ORÇAMENTARIA'!D38</f>
        <v>Resina acrílica, adicionada na argamassa - Impermeabilizante</v>
      </c>
      <c r="C38" s="82"/>
      <c r="D38" s="82">
        <f>'PLANILHA ORÇAMENTARIA'!J38/2</f>
        <v>230.51</v>
      </c>
      <c r="E38" s="82">
        <f>D38</f>
        <v>230.51</v>
      </c>
      <c r="F38" s="82"/>
      <c r="G38" s="82"/>
      <c r="H38" s="82"/>
      <c r="I38" s="102"/>
      <c r="J38" s="82"/>
      <c r="K38" s="103"/>
      <c r="L38" s="84"/>
    </row>
    <row r="39" spans="1:12" ht="28.5" x14ac:dyDescent="0.25">
      <c r="A39" s="8" t="s">
        <v>89</v>
      </c>
      <c r="B39" s="83" t="str">
        <f>'PLANILHA ORÇAMENTARIA'!D39</f>
        <v>Pintura epóxi em piso, duas demãos, inclusive uma demão de primer epóxi - Cor concreto</v>
      </c>
      <c r="C39" s="82"/>
      <c r="D39" s="82"/>
      <c r="E39" s="164"/>
      <c r="F39" s="82">
        <f>'PLANILHA ORÇAMENTARIA'!J39/2</f>
        <v>16662.05</v>
      </c>
      <c r="G39" s="82">
        <f>F39</f>
        <v>16662.05</v>
      </c>
      <c r="H39" s="82"/>
      <c r="I39" s="102"/>
      <c r="J39" s="82"/>
      <c r="K39" s="103"/>
      <c r="L39" s="84"/>
    </row>
    <row r="40" spans="1:12" ht="28.5" x14ac:dyDescent="0.25">
      <c r="A40" s="8" t="s">
        <v>91</v>
      </c>
      <c r="B40" s="83" t="str">
        <f>'PLANILHA ORÇAMENTARIA'!D40</f>
        <v>Demolição manual de ladrilho (paredes), inclusive afastamento e empilhamento</v>
      </c>
      <c r="C40" s="82">
        <f>'PLANILHA ORÇAMENTARIA'!J40</f>
        <v>813.15</v>
      </c>
      <c r="D40" s="82"/>
      <c r="E40" s="82"/>
      <c r="F40" s="82"/>
      <c r="G40" s="82"/>
      <c r="H40" s="82"/>
      <c r="I40" s="102"/>
      <c r="J40" s="82"/>
      <c r="K40" s="103"/>
      <c r="L40" s="84"/>
    </row>
    <row r="41" spans="1:12" x14ac:dyDescent="0.25">
      <c r="A41" s="8" t="s">
        <v>93</v>
      </c>
      <c r="B41" s="83" t="str">
        <f>'PLANILHA ORÇAMENTARIA'!D41</f>
        <v>Instalação de rodapés em granito (padrão CMPM)</v>
      </c>
      <c r="C41" s="82"/>
      <c r="D41" s="82"/>
      <c r="E41" s="164"/>
      <c r="F41" s="82">
        <f>'PLANILHA ORÇAMENTARIA'!J41</f>
        <v>8663.0300000000007</v>
      </c>
      <c r="G41" s="82"/>
      <c r="H41" s="82"/>
      <c r="I41" s="102"/>
      <c r="J41" s="82"/>
      <c r="K41" s="103"/>
      <c r="L41" s="84"/>
    </row>
    <row r="42" spans="1:12" x14ac:dyDescent="0.25">
      <c r="A42" s="8" t="s">
        <v>130</v>
      </c>
      <c r="B42" s="83" t="str">
        <f>'PLANILHA ORÇAMENTARIA'!D42</f>
        <v>Limpeza de parede, ladrilho</v>
      </c>
      <c r="C42" s="82">
        <f>'PLANILHA ORÇAMENTARIA'!J42</f>
        <v>290.29000000000002</v>
      </c>
      <c r="D42" s="82"/>
      <c r="E42" s="82"/>
      <c r="F42" s="82"/>
      <c r="G42" s="82"/>
      <c r="H42" s="82"/>
      <c r="I42" s="102"/>
      <c r="J42" s="82"/>
      <c r="K42" s="103"/>
      <c r="L42" s="84"/>
    </row>
    <row r="43" spans="1:12" x14ac:dyDescent="0.25">
      <c r="A43" s="8" t="s">
        <v>138</v>
      </c>
      <c r="B43" s="83" t="str">
        <f>'PLANILHA ORÇAMENTARIA'!D43</f>
        <v>Assentamento de ladrilho</v>
      </c>
      <c r="C43" s="82"/>
      <c r="D43" s="82"/>
      <c r="E43" s="82">
        <f>'PLANILHA ORÇAMENTARIA'!J43</f>
        <v>1672.14</v>
      </c>
      <c r="F43" s="82"/>
      <c r="G43" s="82"/>
      <c r="H43" s="82"/>
      <c r="I43" s="102"/>
      <c r="J43" s="82"/>
      <c r="K43" s="103"/>
      <c r="L43" s="84"/>
    </row>
    <row r="44" spans="1:12" ht="28.5" x14ac:dyDescent="0.25">
      <c r="A44" s="8" t="s">
        <v>146</v>
      </c>
      <c r="B44" s="83" t="str">
        <f>'PLANILHA ORÇAMENTARIA'!D44</f>
        <v>Calafetação dos chapim, localizados abaixo do guarda-corpo, nas juntas</v>
      </c>
      <c r="C44" s="82"/>
      <c r="D44" s="82"/>
      <c r="E44" s="82">
        <f>'PLANILHA ORÇAMENTARIA'!J44</f>
        <v>271.89999999999998</v>
      </c>
      <c r="F44" s="82"/>
      <c r="G44" s="82"/>
      <c r="H44" s="82"/>
      <c r="I44" s="102"/>
      <c r="J44" s="82"/>
      <c r="K44" s="103"/>
      <c r="L44" s="84"/>
    </row>
    <row r="45" spans="1:12" x14ac:dyDescent="0.25">
      <c r="A45" s="70">
        <v>3</v>
      </c>
      <c r="B45" s="161" t="str">
        <f>'PLANILHA ORÇAMENTARIA'!C45</f>
        <v>PINTURA - 5º PAVIMENTO EXTERNA E FACHADAS</v>
      </c>
      <c r="C45" s="162"/>
      <c r="D45" s="162"/>
      <c r="E45" s="162"/>
      <c r="F45" s="162"/>
      <c r="G45" s="162"/>
      <c r="H45" s="162"/>
      <c r="I45" s="162"/>
      <c r="J45" s="162"/>
      <c r="K45" s="162"/>
      <c r="L45" s="84"/>
    </row>
    <row r="46" spans="1:12" x14ac:dyDescent="0.25">
      <c r="A46" s="8" t="s">
        <v>23</v>
      </c>
      <c r="B46" s="113" t="str">
        <f>'PLANILHA ORÇAMENTARIA'!D46</f>
        <v>Lavagem de fachada com hidrojateamento</v>
      </c>
      <c r="C46" s="82"/>
      <c r="D46" s="82"/>
      <c r="E46" s="82"/>
      <c r="F46" s="82"/>
      <c r="G46" s="82"/>
      <c r="H46" s="82">
        <f>'PLANILHA ORÇAMENTARIA'!J46</f>
        <v>6078.09</v>
      </c>
      <c r="I46" s="102"/>
      <c r="J46" s="82"/>
      <c r="K46" s="102"/>
      <c r="L46" s="84"/>
    </row>
    <row r="47" spans="1:12" ht="28.5" x14ac:dyDescent="0.25">
      <c r="A47" s="8" t="s">
        <v>25</v>
      </c>
      <c r="B47" s="113" t="str">
        <f>'PLANILHA ORÇAMENTARIA'!D47</f>
        <v>Tratatamento de superfície com trinca/fissura, inclusive fita autoadesiva de poliester</v>
      </c>
      <c r="C47" s="82"/>
      <c r="D47" s="82"/>
      <c r="E47" s="82"/>
      <c r="F47" s="82"/>
      <c r="G47" s="82"/>
      <c r="H47" s="82"/>
      <c r="I47" s="102">
        <f>'PLANILHA ORÇAMENTARIA'!J47</f>
        <v>714.42</v>
      </c>
      <c r="J47" s="82"/>
      <c r="K47" s="102"/>
      <c r="L47" s="84"/>
    </row>
    <row r="48" spans="1:12" x14ac:dyDescent="0.25">
      <c r="A48" s="8" t="s">
        <v>53</v>
      </c>
      <c r="B48" s="113" t="str">
        <f>'PLANILHA ORÇAMENTARIA'!D48</f>
        <v>Fundo preparador</v>
      </c>
      <c r="C48" s="82"/>
      <c r="D48" s="82"/>
      <c r="E48" s="82"/>
      <c r="F48" s="82"/>
      <c r="G48" s="82"/>
      <c r="H48" s="82"/>
      <c r="I48" s="102">
        <f>'PLANILHA ORÇAMENTARIA'!J48</f>
        <v>905.04</v>
      </c>
      <c r="J48" s="82"/>
      <c r="K48" s="102"/>
      <c r="L48" s="84"/>
    </row>
    <row r="49" spans="1:12" x14ac:dyDescent="0.25">
      <c r="A49" s="8" t="s">
        <v>100</v>
      </c>
      <c r="B49" s="113" t="str">
        <f>'PLANILHA ORÇAMENTARIA'!D49</f>
        <v>Diluente</v>
      </c>
      <c r="C49" s="82"/>
      <c r="D49" s="82"/>
      <c r="E49" s="82"/>
      <c r="F49" s="82"/>
      <c r="G49" s="82"/>
      <c r="H49" s="82"/>
      <c r="I49" s="102">
        <f>'PLANILHA ORÇAMENTARIA'!J49</f>
        <v>1237.44</v>
      </c>
      <c r="J49" s="82"/>
      <c r="K49" s="102"/>
      <c r="L49" s="84"/>
    </row>
    <row r="50" spans="1:12" x14ac:dyDescent="0.25">
      <c r="A50" s="8" t="s">
        <v>102</v>
      </c>
      <c r="B50" s="113" t="str">
        <f>'PLANILHA ORÇAMENTARIA'!D50</f>
        <v>Impermeabilizante flexivel acrílico, duas demãos</v>
      </c>
      <c r="C50" s="82"/>
      <c r="D50" s="82"/>
      <c r="E50" s="82"/>
      <c r="F50" s="82"/>
      <c r="G50" s="82"/>
      <c r="H50" s="82"/>
      <c r="I50" s="102">
        <f>'PLANILHA ORÇAMENTARIA'!J50</f>
        <v>747.36</v>
      </c>
      <c r="J50" s="82"/>
      <c r="K50" s="102"/>
      <c r="L50" s="84"/>
    </row>
    <row r="51" spans="1:12" x14ac:dyDescent="0.25">
      <c r="A51" s="8" t="s">
        <v>147</v>
      </c>
      <c r="B51" s="113" t="str">
        <f>'PLANILHA ORÇAMENTARIA'!D51</f>
        <v>Lixamento em parede para remoção de tinta</v>
      </c>
      <c r="C51" s="82"/>
      <c r="D51" s="82"/>
      <c r="E51" s="82"/>
      <c r="F51" s="82"/>
      <c r="G51" s="82"/>
      <c r="H51" s="82"/>
      <c r="I51" s="102">
        <f>'PLANILHA ORÇAMENTARIA'!J51</f>
        <v>3101.25</v>
      </c>
      <c r="J51" s="82"/>
      <c r="K51" s="102"/>
      <c r="L51" s="84"/>
    </row>
    <row r="52" spans="1:12" ht="42.75" x14ac:dyDescent="0.25">
      <c r="A52" s="8" t="s">
        <v>148</v>
      </c>
      <c r="B52" s="113" t="str">
        <f>'PLANILHA ORÇAMENTARIA'!D52</f>
        <v>Pintura acrílica em parede, duas demãos, inclusive uma demão de massa corrida - Cor cinza claro (padrão CMPM)</v>
      </c>
      <c r="C52" s="82"/>
      <c r="D52" s="82"/>
      <c r="E52" s="82"/>
      <c r="F52" s="82"/>
      <c r="G52" s="82"/>
      <c r="H52" s="82"/>
      <c r="I52" s="102"/>
      <c r="J52" s="82">
        <f>'PLANILHA ORÇAMENTARIA'!J52/2</f>
        <v>14422.14</v>
      </c>
      <c r="K52" s="102">
        <f>J52</f>
        <v>14422.14</v>
      </c>
      <c r="L52" s="84"/>
    </row>
    <row r="53" spans="1:12" ht="42.75" x14ac:dyDescent="0.25">
      <c r="A53" s="8" t="s">
        <v>149</v>
      </c>
      <c r="B53" s="113" t="str">
        <f>'PLANILHA ORÇAMENTARIA'!D53</f>
        <v>Pintura acrílica em lajes das varandas, duas demãos, inclusive uma demão de massa corrida - Cor branco neve (padrão CMPM)</v>
      </c>
      <c r="C53" s="82"/>
      <c r="D53" s="82"/>
      <c r="E53" s="82"/>
      <c r="F53" s="82"/>
      <c r="G53" s="82"/>
      <c r="H53" s="82"/>
      <c r="I53" s="102">
        <f>'PLANILHA ORÇAMENTARIA'!J53</f>
        <v>5842.8</v>
      </c>
      <c r="J53" s="82"/>
      <c r="K53" s="102"/>
      <c r="L53" s="84"/>
    </row>
    <row r="54" spans="1:12" ht="28.5" x14ac:dyDescent="0.25">
      <c r="A54" s="8" t="s">
        <v>150</v>
      </c>
      <c r="B54" s="113" t="str">
        <f>'PLANILHA ORÇAMENTARIA'!D54</f>
        <v>Impermeabilizante incolor, para tratamento de fachadas</v>
      </c>
      <c r="C54" s="82"/>
      <c r="D54" s="82"/>
      <c r="E54" s="82"/>
      <c r="F54" s="82"/>
      <c r="G54" s="82"/>
      <c r="H54" s="82"/>
      <c r="I54" s="102">
        <f>'PLANILHA ORÇAMENTARIA'!J54</f>
        <v>7172.1</v>
      </c>
      <c r="J54" s="82"/>
      <c r="K54" s="102"/>
      <c r="L54" s="84"/>
    </row>
    <row r="55" spans="1:12" x14ac:dyDescent="0.25">
      <c r="A55" s="70">
        <v>4</v>
      </c>
      <c r="B55" s="158" t="str">
        <f>'PLANILHA ORÇAMENTARIA'!C55</f>
        <v>GESSO - 5º PAVIMENTO</v>
      </c>
      <c r="C55" s="159"/>
      <c r="D55" s="159"/>
      <c r="E55" s="159"/>
      <c r="F55" s="159"/>
      <c r="G55" s="159"/>
      <c r="H55" s="159"/>
      <c r="I55" s="159"/>
      <c r="J55" s="159"/>
      <c r="K55" s="159"/>
      <c r="L55" s="84"/>
    </row>
    <row r="56" spans="1:12" ht="42.75" x14ac:dyDescent="0.25">
      <c r="A56" s="8" t="s">
        <v>45</v>
      </c>
      <c r="B56" s="113" t="str">
        <f>'PLANILHA ORÇAMENTARIA'!D56</f>
        <v>Demolir forro/placa de gesso do 5º Pavimento, exclusive demolição da estrutura de sustentação, inclusive afastamento e empilhamento</v>
      </c>
      <c r="C56" s="35">
        <f>'PLANILHA ORÇAMENTARIA'!J56</f>
        <v>778.94</v>
      </c>
      <c r="D56" s="35"/>
      <c r="E56" s="35"/>
      <c r="F56" s="82"/>
      <c r="G56" s="35"/>
      <c r="H56" s="35"/>
      <c r="I56" s="35"/>
      <c r="J56" s="35"/>
      <c r="K56" s="35"/>
      <c r="L56" s="84"/>
    </row>
    <row r="57" spans="1:12" x14ac:dyDescent="0.25">
      <c r="A57" s="70">
        <v>5</v>
      </c>
      <c r="B57" s="158" t="str">
        <f>'PLANILHA ORÇAMENTARIA'!C57</f>
        <v>GESSO E ESQUADRIAS - 4º PAVIMENTO</v>
      </c>
      <c r="C57" s="159"/>
      <c r="D57" s="159"/>
      <c r="E57" s="159"/>
      <c r="F57" s="159"/>
      <c r="G57" s="159"/>
      <c r="H57" s="159"/>
      <c r="I57" s="159"/>
      <c r="J57" s="159"/>
      <c r="K57" s="159"/>
      <c r="L57" s="84"/>
    </row>
    <row r="58" spans="1:12" ht="42.75" x14ac:dyDescent="0.25">
      <c r="A58" s="8" t="s">
        <v>47</v>
      </c>
      <c r="B58" s="113" t="str">
        <f>'PLANILHA ORÇAMENTARIA'!D58</f>
        <v>Demolir forro/placa de gesso do 4º Pavimento, exclusive demolição da estrutura de sustentação, inclusive afastamento e empilhamento</v>
      </c>
      <c r="C58" s="35">
        <f>'PLANILHA ORÇAMENTARIA'!J58</f>
        <v>2728.35</v>
      </c>
      <c r="D58" s="35"/>
      <c r="E58" s="35"/>
      <c r="F58" s="82"/>
      <c r="G58" s="35"/>
      <c r="H58" s="35"/>
      <c r="I58" s="35"/>
      <c r="J58" s="35"/>
      <c r="K58" s="35"/>
      <c r="L58" s="84"/>
    </row>
    <row r="59" spans="1:12" ht="57" x14ac:dyDescent="0.25">
      <c r="A59" s="8" t="s">
        <v>304</v>
      </c>
      <c r="B59" s="113" t="str">
        <f>'PLANILHA ORÇAMENTARIA'!D59</f>
        <v>Fornecimento e assentamento de janela, tipo Maxim-Ar com vidro liso 4mm, ferragens e acessórios - Padrão CMPM - Salas 419 e 418 - Dimensão 90x90cm</v>
      </c>
      <c r="C59" s="35"/>
      <c r="D59" s="35"/>
      <c r="E59" s="35"/>
      <c r="F59" s="164"/>
      <c r="G59" s="82">
        <f>'PLANILHA ORÇAMENTARIA'!J59</f>
        <v>1563.54</v>
      </c>
      <c r="H59" s="35"/>
      <c r="I59" s="35"/>
      <c r="J59" s="35"/>
      <c r="K59" s="35"/>
      <c r="L59" s="84"/>
    </row>
    <row r="60" spans="1:12" x14ac:dyDescent="0.25">
      <c r="A60" s="70">
        <v>6</v>
      </c>
      <c r="B60" s="158" t="str">
        <f>'PLANILHA ORÇAMENTARIA'!C60</f>
        <v>JARDIM - 3º PAVIMENTO</v>
      </c>
      <c r="C60" s="159"/>
      <c r="D60" s="159"/>
      <c r="E60" s="159"/>
      <c r="F60" s="159"/>
      <c r="G60" s="159"/>
      <c r="H60" s="159"/>
      <c r="I60" s="159"/>
      <c r="J60" s="159"/>
      <c r="K60" s="159"/>
      <c r="L60" s="84"/>
    </row>
    <row r="61" spans="1:12" x14ac:dyDescent="0.25">
      <c r="A61" s="8" t="s">
        <v>231</v>
      </c>
      <c r="B61" s="113" t="str">
        <f>'PLANILHA ORÇAMENTARIA'!D61</f>
        <v>Escavação manual de terra (desaterro manual)</v>
      </c>
      <c r="C61" s="35"/>
      <c r="D61" s="35"/>
      <c r="E61" s="35"/>
      <c r="F61" s="82">
        <f>'PLANILHA ORÇAMENTARIA'!J61</f>
        <v>336.02</v>
      </c>
      <c r="G61" s="35"/>
      <c r="H61" s="35"/>
      <c r="I61" s="35"/>
      <c r="J61" s="35"/>
      <c r="K61" s="35"/>
      <c r="L61" s="84"/>
    </row>
    <row r="62" spans="1:12" ht="28.5" x14ac:dyDescent="0.25">
      <c r="A62" s="8" t="s">
        <v>232</v>
      </c>
      <c r="B62" s="113" t="str">
        <f>'PLANILHA ORÇAMENTARIA'!D62</f>
        <v>Escoramento de jardim, tipo contínuo empregando pranchas e longarinas de peroba</v>
      </c>
      <c r="C62" s="35"/>
      <c r="D62" s="35"/>
      <c r="E62" s="35"/>
      <c r="F62" s="82">
        <f>'PLANILHA ORÇAMENTARIA'!J62</f>
        <v>855.32</v>
      </c>
      <c r="G62" s="35"/>
      <c r="H62" s="35"/>
      <c r="I62" s="35"/>
      <c r="J62" s="35"/>
      <c r="K62" s="35"/>
      <c r="L62" s="84"/>
    </row>
    <row r="63" spans="1:12" ht="42.75" x14ac:dyDescent="0.25">
      <c r="A63" s="8" t="s">
        <v>233</v>
      </c>
      <c r="B63" s="113" t="str">
        <f>'PLANILHA ORÇAMENTARIA'!D63</f>
        <v>Alvenaria com bloco de concreto, esp. 14cm (fbk 4,5 mpa) para revestimento, inclusive argamassa para assentamento</v>
      </c>
      <c r="C63" s="35"/>
      <c r="D63" s="35"/>
      <c r="E63" s="35"/>
      <c r="F63" s="82">
        <f>'PLANILHA ORÇAMENTARIA'!J63</f>
        <v>256.2</v>
      </c>
      <c r="G63" s="35"/>
      <c r="H63" s="35"/>
      <c r="I63" s="35"/>
      <c r="J63" s="35"/>
      <c r="K63" s="35"/>
      <c r="L63" s="84"/>
    </row>
    <row r="64" spans="1:12" ht="28.5" x14ac:dyDescent="0.25">
      <c r="A64" s="8" t="s">
        <v>234</v>
      </c>
      <c r="B64" s="113" t="str">
        <f>'PLANILHA ORÇAMENTARIA'!D64</f>
        <v>Pintura impermeabilizante em piso e laterais do jardim</v>
      </c>
      <c r="C64" s="35"/>
      <c r="D64" s="35"/>
      <c r="E64" s="35"/>
      <c r="F64" s="82">
        <f>'PLANILHA ORÇAMENTARIA'!J64</f>
        <v>479.45</v>
      </c>
      <c r="G64" s="35"/>
      <c r="H64" s="35"/>
      <c r="I64" s="35"/>
      <c r="J64" s="35"/>
      <c r="K64" s="35"/>
      <c r="L64" s="84"/>
    </row>
    <row r="65" spans="1:12" ht="57" x14ac:dyDescent="0.25">
      <c r="A65" s="8" t="s">
        <v>235</v>
      </c>
      <c r="B65" s="113" t="str">
        <f>'PLANILHA ORÇAMENTARIA'!D65</f>
        <v>Assentamento de ladrilho, padrão CMPM, com argamassa em camada única, aplicado em parede, traço 1:3, esp. 20mm, aplicação manual, preparo mecânico</v>
      </c>
      <c r="C65" s="35"/>
      <c r="D65" s="35"/>
      <c r="E65" s="35"/>
      <c r="F65" s="82">
        <f>'PLANILHA ORÇAMENTARIA'!J65</f>
        <v>314.08</v>
      </c>
      <c r="G65" s="35"/>
      <c r="H65" s="35"/>
      <c r="I65" s="35"/>
      <c r="J65" s="35"/>
      <c r="K65" s="35"/>
      <c r="L65" s="84"/>
    </row>
    <row r="66" spans="1:12" ht="42.75" x14ac:dyDescent="0.25">
      <c r="A66" s="8" t="s">
        <v>236</v>
      </c>
      <c r="B66" s="113" t="str">
        <f>'PLANILHA ORÇAMENTARIA'!D66</f>
        <v>Chapim sobre peitoril do jardim, em granito, largura 25cm, assentado com argamassa 1:6 com aditivo</v>
      </c>
      <c r="C66" s="35"/>
      <c r="D66" s="35"/>
      <c r="E66" s="35"/>
      <c r="F66" s="82">
        <f>'PLANILHA ORÇAMENTARIA'!J66</f>
        <v>2295.0700000000002</v>
      </c>
      <c r="G66" s="35"/>
      <c r="H66" s="35"/>
      <c r="I66" s="35"/>
      <c r="J66" s="35"/>
      <c r="K66" s="35"/>
      <c r="L66" s="84"/>
    </row>
    <row r="67" spans="1:12" ht="28.5" x14ac:dyDescent="0.25">
      <c r="A67" s="8" t="s">
        <v>237</v>
      </c>
      <c r="B67" s="113" t="str">
        <f>'PLANILHA ORÇAMENTARIA'!D67</f>
        <v>Contrapiso desempenado com argamassa, traço 1:3 - com inclinação de 2% a 3% - escoamento</v>
      </c>
      <c r="C67" s="35"/>
      <c r="D67" s="35"/>
      <c r="E67" s="35"/>
      <c r="F67" s="82">
        <f>'PLANILHA ORÇAMENTARIA'!J67</f>
        <v>228.42</v>
      </c>
      <c r="G67" s="35"/>
      <c r="H67" s="35"/>
      <c r="I67" s="35"/>
      <c r="J67" s="35"/>
      <c r="K67" s="35"/>
      <c r="L67" s="84"/>
    </row>
    <row r="68" spans="1:12" ht="57" x14ac:dyDescent="0.25">
      <c r="A68" s="8" t="s">
        <v>238</v>
      </c>
      <c r="B68" s="113" t="str">
        <f>'PLANILHA ORÇAMENTARIA'!D68</f>
        <v>Assentamento de revestimento, padrão CMPM, com argamassa em camada única, aplicado em piso, traço 1:3, esp. 20mm, aplicação manual, preparo mecânico</v>
      </c>
      <c r="C68" s="35"/>
      <c r="D68" s="35"/>
      <c r="E68" s="35"/>
      <c r="F68" s="82">
        <f>'PLANILHA ORÇAMENTARIA'!J68</f>
        <v>166.39</v>
      </c>
      <c r="G68" s="35"/>
      <c r="H68" s="35"/>
      <c r="I68" s="35"/>
      <c r="J68" s="35"/>
      <c r="K68" s="35"/>
      <c r="L68" s="84"/>
    </row>
    <row r="69" spans="1:12" x14ac:dyDescent="0.25">
      <c r="A69" s="70">
        <v>7</v>
      </c>
      <c r="B69" s="158" t="str">
        <f>'PLANILHA ORÇAMENTARIA'!C69</f>
        <v>MARQUISES EXTERNAS - 5º AO 2º PAVIMENTO</v>
      </c>
      <c r="C69" s="159"/>
      <c r="D69" s="159"/>
      <c r="E69" s="159"/>
      <c r="F69" s="159"/>
      <c r="G69" s="159"/>
      <c r="H69" s="159"/>
      <c r="I69" s="159"/>
      <c r="J69" s="159"/>
      <c r="K69" s="159"/>
      <c r="L69" s="84"/>
    </row>
    <row r="70" spans="1:12" x14ac:dyDescent="0.25">
      <c r="A70" s="8" t="s">
        <v>239</v>
      </c>
      <c r="B70" s="113" t="str">
        <f>'PLANILHA ORÇAMENTARIA'!D70</f>
        <v xml:space="preserve">Limpeza com hidrojateamento </v>
      </c>
      <c r="C70" s="35"/>
      <c r="D70" s="35"/>
      <c r="E70" s="35"/>
      <c r="F70" s="35">
        <f>'PLANILHA ORÇAMENTARIA'!J70</f>
        <v>1474.16</v>
      </c>
      <c r="G70" s="164"/>
      <c r="H70" s="35"/>
      <c r="I70" s="35"/>
      <c r="J70" s="35"/>
      <c r="K70" s="35"/>
      <c r="L70" s="84"/>
    </row>
    <row r="71" spans="1:12" ht="42.75" x14ac:dyDescent="0.25">
      <c r="A71" s="8" t="s">
        <v>240</v>
      </c>
      <c r="B71" s="113" t="str">
        <f>'PLANILHA ORÇAMENTARIA'!D71</f>
        <v>Demolição manual de concreto (faces frontais), sem armação, inclusive afastamento e empilhamento</v>
      </c>
      <c r="C71" s="35"/>
      <c r="D71" s="35"/>
      <c r="E71" s="35"/>
      <c r="F71" s="82">
        <f>'PLANILHA ORÇAMENTARIA'!J71</f>
        <v>782.43</v>
      </c>
      <c r="G71" s="35"/>
      <c r="H71" s="35"/>
      <c r="I71" s="35"/>
      <c r="J71" s="35"/>
      <c r="K71" s="35"/>
      <c r="L71" s="84"/>
    </row>
    <row r="72" spans="1:12" ht="28.5" x14ac:dyDescent="0.25">
      <c r="A72" s="8" t="s">
        <v>241</v>
      </c>
      <c r="B72" s="113" t="str">
        <f>'PLANILHA ORÇAMENTARIA'!D72</f>
        <v>Forma e desforma de tábua e sarrafo, reaproveitamento (3x)</v>
      </c>
      <c r="C72" s="35"/>
      <c r="D72" s="35"/>
      <c r="E72" s="35"/>
      <c r="F72" s="82">
        <f>'PLANILHA ORÇAMENTARIA'!J72</f>
        <v>8364.33</v>
      </c>
      <c r="G72" s="35"/>
      <c r="H72" s="35"/>
      <c r="I72" s="35"/>
      <c r="J72" s="35"/>
      <c r="K72" s="35"/>
      <c r="L72" s="84"/>
    </row>
    <row r="73" spans="1:12" ht="42.75" x14ac:dyDescent="0.25">
      <c r="A73" s="8" t="s">
        <v>242</v>
      </c>
      <c r="B73" s="113" t="str">
        <f>'PLANILHA ORÇAMENTARIA'!D73</f>
        <v>Escoramento metálico para forma, altura de 311 ate 450cm, inclusive descarga, montagem, desmontagem e carga</v>
      </c>
      <c r="C73" s="35"/>
      <c r="D73" s="35"/>
      <c r="E73" s="35"/>
      <c r="F73" s="82">
        <f>'PLANILHA ORÇAMENTARIA'!J73</f>
        <v>7827.69</v>
      </c>
      <c r="G73" s="35"/>
      <c r="H73" s="35"/>
      <c r="I73" s="35"/>
      <c r="J73" s="35"/>
      <c r="K73" s="35"/>
      <c r="L73" s="84"/>
    </row>
    <row r="74" spans="1:12" ht="28.5" x14ac:dyDescent="0.25">
      <c r="A74" s="8" t="s">
        <v>243</v>
      </c>
      <c r="B74" s="113" t="str">
        <f>'PLANILHA ORÇAMENTARIA'!D74</f>
        <v>Regularização das faces frontais das marquises, traço 1:2:8 (cimento, cal e areia)</v>
      </c>
      <c r="C74" s="35"/>
      <c r="D74" s="35"/>
      <c r="E74" s="35"/>
      <c r="F74" s="35">
        <f>'PLANILHA ORÇAMENTARIA'!J74</f>
        <v>1713.82</v>
      </c>
      <c r="G74" s="164"/>
      <c r="H74" s="35"/>
      <c r="I74" s="35"/>
      <c r="J74" s="35"/>
      <c r="K74" s="35"/>
      <c r="L74" s="84"/>
    </row>
    <row r="75" spans="1:12" x14ac:dyDescent="0.25">
      <c r="A75" s="8" t="s">
        <v>244</v>
      </c>
      <c r="B75" s="113" t="str">
        <f>'PLANILHA ORÇAMENTARIA'!D75</f>
        <v>Lixamento de superficie de concreto</v>
      </c>
      <c r="C75" s="35"/>
      <c r="D75" s="35"/>
      <c r="E75" s="35"/>
      <c r="F75" s="82"/>
      <c r="G75" s="35"/>
      <c r="H75" s="35">
        <f>'PLANILHA ORÇAMENTARIA'!J75</f>
        <v>2885.81</v>
      </c>
      <c r="I75" s="35"/>
      <c r="J75" s="164"/>
      <c r="K75" s="35"/>
      <c r="L75" s="84"/>
    </row>
    <row r="76" spans="1:12" ht="42.75" x14ac:dyDescent="0.25">
      <c r="A76" s="8" t="s">
        <v>245</v>
      </c>
      <c r="B76" s="113" t="str">
        <f>'PLANILHA ORÇAMENTARIA'!D76</f>
        <v>Contrapiso desempenado com argamassa, com inclinação para escoamento - Traço 1:3 espessura de 30mm</v>
      </c>
      <c r="C76" s="35"/>
      <c r="D76" s="35"/>
      <c r="E76" s="35"/>
      <c r="F76" s="35">
        <f>'PLANILHA ORÇAMENTARIA'!J76</f>
        <v>11062.64</v>
      </c>
      <c r="G76" s="164"/>
      <c r="H76" s="35"/>
      <c r="I76" s="35"/>
      <c r="J76" s="35"/>
      <c r="K76" s="35"/>
      <c r="L76" s="84"/>
    </row>
    <row r="77" spans="1:12" x14ac:dyDescent="0.25">
      <c r="A77" s="8" t="s">
        <v>246</v>
      </c>
      <c r="B77" s="113" t="str">
        <f>'PLANILHA ORÇAMENTARIA'!D77</f>
        <v>Pintura impermeabilizante</v>
      </c>
      <c r="C77" s="35"/>
      <c r="D77" s="35"/>
      <c r="E77" s="35"/>
      <c r="F77" s="82"/>
      <c r="G77" s="35"/>
      <c r="H77" s="35"/>
      <c r="I77" s="35"/>
      <c r="J77" s="35">
        <f>'PLANILHA ORÇAMENTARIA'!J77</f>
        <v>11551.87</v>
      </c>
      <c r="K77" s="35"/>
      <c r="L77" s="84"/>
    </row>
    <row r="78" spans="1:12" ht="42.75" x14ac:dyDescent="0.25">
      <c r="A78" s="8" t="s">
        <v>247</v>
      </c>
      <c r="B78" s="113" t="str">
        <f>'PLANILHA ORÇAMENTARIA'!D78</f>
        <v>Pintura epóxi em marquises, duas demãos, inclusive uma demão de primer epóxi - Cor branca (Padrão CMPM)</v>
      </c>
      <c r="C78" s="35"/>
      <c r="D78" s="35"/>
      <c r="E78" s="35"/>
      <c r="F78" s="82"/>
      <c r="G78" s="35"/>
      <c r="H78" s="35"/>
      <c r="I78" s="35"/>
      <c r="J78" s="35">
        <f>'PLANILHA ORÇAMENTARIA'!J78/2</f>
        <v>12491.54</v>
      </c>
      <c r="K78" s="35">
        <f>J78</f>
        <v>12491.54</v>
      </c>
      <c r="L78" s="84"/>
    </row>
    <row r="79" spans="1:12" x14ac:dyDescent="0.25">
      <c r="A79" s="70">
        <v>8</v>
      </c>
      <c r="B79" s="160" t="str">
        <f>'PLANILHA ORÇAMENTARIA'!C79</f>
        <v>RETIRADA DE ENTULHO</v>
      </c>
      <c r="C79" s="159"/>
      <c r="D79" s="159"/>
      <c r="E79" s="159"/>
      <c r="F79" s="159"/>
      <c r="G79" s="159"/>
      <c r="H79" s="159"/>
      <c r="I79" s="159"/>
      <c r="J79" s="159"/>
      <c r="K79" s="159"/>
      <c r="L79" s="84"/>
    </row>
    <row r="80" spans="1:12" ht="42.75" x14ac:dyDescent="0.25">
      <c r="A80" s="8" t="s">
        <v>248</v>
      </c>
      <c r="B80" s="113" t="str">
        <f>'PLANILHA ORÇAMENTARIA'!D80</f>
        <v>Condutor/duto de entulho em polietileno, inclusive acessórios de fixação, suportes, montagem e desmontagem e remanejamento</v>
      </c>
      <c r="C80" s="35">
        <f>'PLANILHA ORÇAMENTARIA'!J80/5</f>
        <v>3199.41</v>
      </c>
      <c r="D80" s="35">
        <f>C80</f>
        <v>3199.41</v>
      </c>
      <c r="E80" s="35">
        <f>D80</f>
        <v>3199.41</v>
      </c>
      <c r="F80" s="82">
        <f>E80</f>
        <v>3199.41</v>
      </c>
      <c r="G80" s="35">
        <f>F80</f>
        <v>3199.41</v>
      </c>
      <c r="H80" s="35"/>
      <c r="I80" s="104"/>
      <c r="J80" s="35"/>
      <c r="K80" s="104"/>
      <c r="L80" s="84"/>
    </row>
    <row r="81" spans="1:12" x14ac:dyDescent="0.25">
      <c r="A81" s="8" t="s">
        <v>249</v>
      </c>
      <c r="B81" s="113" t="str">
        <f>'PLANILHA ORÇAMENTARIA'!D81</f>
        <v>Caçamba - 5m²</v>
      </c>
      <c r="C81" s="35">
        <v>518.65</v>
      </c>
      <c r="D81" s="35">
        <f>C81</f>
        <v>518.65</v>
      </c>
      <c r="E81" s="35">
        <f>D81</f>
        <v>518.65</v>
      </c>
      <c r="F81" s="35">
        <f t="shared" ref="F81:J81" si="0">E81</f>
        <v>518.65</v>
      </c>
      <c r="G81" s="35">
        <f t="shared" si="0"/>
        <v>518.65</v>
      </c>
      <c r="H81" s="35">
        <f t="shared" si="0"/>
        <v>518.65</v>
      </c>
      <c r="I81" s="35">
        <f t="shared" si="0"/>
        <v>518.65</v>
      </c>
      <c r="J81" s="35">
        <f t="shared" si="0"/>
        <v>518.65</v>
      </c>
      <c r="K81" s="35">
        <f>518.65+0.06</f>
        <v>518.70999999999992</v>
      </c>
      <c r="L81" s="84"/>
    </row>
    <row r="82" spans="1:12" x14ac:dyDescent="0.25">
      <c r="A82" s="70">
        <v>9</v>
      </c>
      <c r="B82" s="160" t="str">
        <f>'PLANILHA ORÇAMENTARIA'!C82</f>
        <v>ANDAIME</v>
      </c>
      <c r="C82" s="159"/>
      <c r="D82" s="159"/>
      <c r="E82" s="159"/>
      <c r="F82" s="159"/>
      <c r="G82" s="159"/>
      <c r="H82" s="159"/>
      <c r="I82" s="159"/>
      <c r="J82" s="159"/>
      <c r="K82" s="159"/>
      <c r="L82" s="84"/>
    </row>
    <row r="83" spans="1:12" ht="28.5" x14ac:dyDescent="0.25">
      <c r="A83" s="8" t="s">
        <v>250</v>
      </c>
      <c r="B83" s="113" t="str">
        <f>'PLANILHA ORÇAMENTARIA'!D83</f>
        <v>Fornecimento de andaime metálico para fachada (locação), inlcusive piso metálico e sapata</v>
      </c>
      <c r="C83" s="35"/>
      <c r="D83" s="35"/>
      <c r="E83" s="35"/>
      <c r="F83" s="82">
        <f>'PLANILHA ORÇAMENTARIA'!J83/5-0.004</f>
        <v>13022.3</v>
      </c>
      <c r="G83" s="35"/>
      <c r="H83" s="35">
        <f>F83</f>
        <v>13022.3</v>
      </c>
      <c r="I83" s="104">
        <f t="shared" ref="I83:J84" si="1">H83</f>
        <v>13022.3</v>
      </c>
      <c r="J83" s="35">
        <f t="shared" si="1"/>
        <v>13022.3</v>
      </c>
      <c r="K83" s="104">
        <f>J83+0.02</f>
        <v>13022.32</v>
      </c>
      <c r="L83" s="84"/>
    </row>
    <row r="84" spans="1:12" ht="42.75" x14ac:dyDescent="0.25">
      <c r="A84" s="8" t="s">
        <v>251</v>
      </c>
      <c r="B84" s="113" t="str">
        <f>'PLANILHA ORÇAMENTARIA'!D84</f>
        <v>Tela de proteção, tipo fachadeira, instalada em andaime metálico para fachada - inclusive acessórios de fixação</v>
      </c>
      <c r="C84" s="35"/>
      <c r="D84" s="35"/>
      <c r="E84" s="35"/>
      <c r="F84" s="82">
        <f>'PLANILHA ORÇAMENTARIA'!J84/5-0.008</f>
        <v>2409.27</v>
      </c>
      <c r="G84" s="35"/>
      <c r="H84" s="104">
        <f>F84</f>
        <v>2409.27</v>
      </c>
      <c r="I84" s="104">
        <f t="shared" si="1"/>
        <v>2409.27</v>
      </c>
      <c r="J84" s="35">
        <f t="shared" si="1"/>
        <v>2409.27</v>
      </c>
      <c r="K84" s="104">
        <f>J84+0.04</f>
        <v>2409.31</v>
      </c>
      <c r="L84" s="84"/>
    </row>
    <row r="85" spans="1:12" ht="28.5" x14ac:dyDescent="0.25">
      <c r="A85" s="8" t="s">
        <v>263</v>
      </c>
      <c r="B85" s="113" t="str">
        <f>'PLANILHA ORÇAMENTARIA'!D85</f>
        <v>Montagem e desmontagem de andaime metálico para fachada com piso metálico</v>
      </c>
      <c r="C85" s="35"/>
      <c r="D85" s="35"/>
      <c r="E85" s="35"/>
      <c r="F85" s="82">
        <f>'PLANILHA ORÇAMENTARIA'!J85/2-0.005</f>
        <v>8287.61</v>
      </c>
      <c r="G85" s="35"/>
      <c r="H85" s="35"/>
      <c r="I85" s="104"/>
      <c r="J85" s="35"/>
      <c r="K85" s="104">
        <f>F85+0.01</f>
        <v>8287.6200000000008</v>
      </c>
      <c r="L85" s="84"/>
    </row>
    <row r="86" spans="1:12" ht="28.5" x14ac:dyDescent="0.25">
      <c r="A86" s="8" t="s">
        <v>305</v>
      </c>
      <c r="B86" s="113" t="str">
        <f>'PLANILHA ORÇAMENTARIA'!D86</f>
        <v>Fornecimento de andaime metálico tubular tipo torre, inclusive rodízio</v>
      </c>
      <c r="C86" s="35"/>
      <c r="D86" s="35">
        <f>'PLANILHA ORÇAMENTARIA'!J86/2-0.005</f>
        <v>809.76</v>
      </c>
      <c r="E86" s="35">
        <f>D86+0.01</f>
        <v>809.77</v>
      </c>
      <c r="F86" s="82"/>
      <c r="G86" s="35"/>
      <c r="H86" s="35"/>
      <c r="I86" s="104"/>
      <c r="J86" s="35"/>
      <c r="K86" s="104"/>
      <c r="L86" s="84"/>
    </row>
    <row r="87" spans="1:12" x14ac:dyDescent="0.25">
      <c r="A87" s="70">
        <v>10</v>
      </c>
      <c r="B87" s="160" t="str">
        <f>'PLANILHA ORÇAMENTARIA'!C87</f>
        <v>BARRACÃO DE OBRA</v>
      </c>
      <c r="C87" s="159"/>
      <c r="D87" s="159"/>
      <c r="E87" s="159"/>
      <c r="F87" s="159"/>
      <c r="G87" s="159"/>
      <c r="H87" s="159"/>
      <c r="I87" s="159"/>
      <c r="J87" s="159"/>
      <c r="K87" s="159"/>
      <c r="L87" s="84"/>
    </row>
    <row r="88" spans="1:12" ht="57" x14ac:dyDescent="0.25">
      <c r="A88" s="8" t="s">
        <v>252</v>
      </c>
      <c r="B88" s="113" t="str">
        <f>'PLANILHA ORÇAMENTARIA'!D88</f>
        <v>Barracão de obra para depósito e ferramentaria, área interna 14,52m² em chapa de compensado resinado, inclusive mobiliario (obra de pequeno porte, efetivo até 30 homens)</v>
      </c>
      <c r="C88" s="35">
        <f>'PLANILHA ORÇAMENTARIA'!J88</f>
        <v>9650.33</v>
      </c>
      <c r="D88" s="35"/>
      <c r="E88" s="35"/>
      <c r="F88" s="82"/>
      <c r="G88" s="35"/>
      <c r="H88" s="35"/>
      <c r="I88" s="104"/>
      <c r="J88" s="35"/>
      <c r="K88" s="104"/>
      <c r="L88" s="84"/>
    </row>
    <row r="89" spans="1:12" x14ac:dyDescent="0.25">
      <c r="A89" s="70">
        <v>11</v>
      </c>
      <c r="B89" s="160" t="str">
        <f>'PLANILHA ORÇAMENTARIA'!C89</f>
        <v>PLACA DE OBRA</v>
      </c>
      <c r="C89" s="159"/>
      <c r="D89" s="159"/>
      <c r="E89" s="159"/>
      <c r="F89" s="159"/>
      <c r="G89" s="159"/>
      <c r="H89" s="159"/>
      <c r="I89" s="159"/>
      <c r="J89" s="159"/>
      <c r="K89" s="159"/>
      <c r="L89" s="84"/>
    </row>
    <row r="90" spans="1:12" ht="42.75" x14ac:dyDescent="0.25">
      <c r="A90" s="8" t="s">
        <v>253</v>
      </c>
      <c r="B90" s="114" t="str">
        <f>'PLANILHA ORÇAMENTARIA'!D90</f>
        <v>Placa de obra em lona impressão digital - Instalação de 2 Placas - Informes da Obra - 1,10x2,15m</v>
      </c>
      <c r="C90" s="35">
        <f>'PLANILHA ORÇAMENTARIA'!J90</f>
        <v>2038.63</v>
      </c>
      <c r="D90" s="35"/>
      <c r="E90" s="35"/>
      <c r="F90" s="82"/>
      <c r="G90" s="35"/>
      <c r="H90" s="35"/>
      <c r="I90" s="35"/>
      <c r="J90" s="35"/>
      <c r="K90" s="35"/>
      <c r="L90" s="84"/>
    </row>
    <row r="91" spans="1:12" x14ac:dyDescent="0.25">
      <c r="A91" s="155">
        <v>12</v>
      </c>
      <c r="B91" s="85" t="s">
        <v>109</v>
      </c>
      <c r="C91" s="157"/>
      <c r="D91" s="157"/>
      <c r="E91" s="157"/>
      <c r="F91" s="157"/>
      <c r="G91" s="157"/>
      <c r="H91" s="157"/>
      <c r="I91" s="157"/>
      <c r="J91" s="157"/>
      <c r="K91" s="157"/>
      <c r="L91" s="84"/>
    </row>
    <row r="92" spans="1:12" ht="28.5" x14ac:dyDescent="0.25">
      <c r="A92" s="8" t="s">
        <v>254</v>
      </c>
      <c r="B92" s="113" t="str">
        <f>'PLANILHA ORÇAMENTARIA'!D93</f>
        <v>Engenheiro Civil / Arquiteto - Acompanhamento diário na obra (média de duas horas por dia)</v>
      </c>
      <c r="C92" s="35">
        <f>'PLANILHA ORÇAMENTARIA'!J93/9</f>
        <v>9597</v>
      </c>
      <c r="D92" s="35">
        <f t="shared" ref="D92:K93" si="2">C92</f>
        <v>9597</v>
      </c>
      <c r="E92" s="35">
        <f t="shared" si="2"/>
        <v>9597</v>
      </c>
      <c r="F92" s="82">
        <f t="shared" si="2"/>
        <v>9597</v>
      </c>
      <c r="G92" s="35">
        <f t="shared" si="2"/>
        <v>9597</v>
      </c>
      <c r="H92" s="35">
        <f t="shared" si="2"/>
        <v>9597</v>
      </c>
      <c r="I92" s="104">
        <f t="shared" si="2"/>
        <v>9597</v>
      </c>
      <c r="J92" s="35">
        <f t="shared" si="2"/>
        <v>9597</v>
      </c>
      <c r="K92" s="104">
        <f t="shared" si="2"/>
        <v>9597</v>
      </c>
      <c r="L92" s="84"/>
    </row>
    <row r="93" spans="1:12" x14ac:dyDescent="0.25">
      <c r="A93" s="8" t="s">
        <v>255</v>
      </c>
      <c r="B93" s="113" t="str">
        <f>'PLANILHA ORÇAMENTARIA'!D94</f>
        <v>Mestre de Obras</v>
      </c>
      <c r="C93" s="35">
        <f>'PLANILHA ORÇAMENTARIA'!J94/9</f>
        <v>16842.03</v>
      </c>
      <c r="D93" s="35">
        <f t="shared" si="2"/>
        <v>16842.03</v>
      </c>
      <c r="E93" s="35">
        <f t="shared" si="2"/>
        <v>16842.03</v>
      </c>
      <c r="F93" s="82">
        <f t="shared" si="2"/>
        <v>16842.03</v>
      </c>
      <c r="G93" s="35">
        <f t="shared" si="2"/>
        <v>16842.03</v>
      </c>
      <c r="H93" s="35">
        <f t="shared" si="2"/>
        <v>16842.03</v>
      </c>
      <c r="I93" s="104">
        <f t="shared" si="2"/>
        <v>16842.03</v>
      </c>
      <c r="J93" s="35">
        <f t="shared" si="2"/>
        <v>16842.03</v>
      </c>
      <c r="K93" s="104">
        <f t="shared" si="2"/>
        <v>16842.03</v>
      </c>
      <c r="L93" s="84"/>
    </row>
    <row r="94" spans="1:12" x14ac:dyDescent="0.25">
      <c r="A94" s="8" t="s">
        <v>256</v>
      </c>
      <c r="B94" s="113" t="str">
        <f>'PLANILHA ORÇAMENTARIA'!D95</f>
        <v>Técnico em segurança do trabalho</v>
      </c>
      <c r="C94" s="35"/>
      <c r="D94" s="35">
        <f>'PLANILHA ORÇAMENTARIA'!J95/6</f>
        <v>7935.82</v>
      </c>
      <c r="E94" s="35"/>
      <c r="F94" s="82">
        <f>D94</f>
        <v>7935.82</v>
      </c>
      <c r="G94" s="35"/>
      <c r="H94" s="35">
        <f>F94</f>
        <v>7935.82</v>
      </c>
      <c r="I94" s="104">
        <f>H94</f>
        <v>7935.82</v>
      </c>
      <c r="J94" s="35">
        <f>I94</f>
        <v>7935.82</v>
      </c>
      <c r="K94" s="104">
        <f>J94</f>
        <v>7935.82</v>
      </c>
      <c r="L94" s="84"/>
    </row>
    <row r="95" spans="1:12" x14ac:dyDescent="0.25">
      <c r="A95" s="8" t="s">
        <v>257</v>
      </c>
      <c r="B95" s="113" t="str">
        <f>'PLANILHA ORÇAMENTARIA'!D96</f>
        <v>Telhadista</v>
      </c>
      <c r="C95" s="35"/>
      <c r="D95" s="35"/>
      <c r="E95" s="35">
        <f>'PLANILHA ORÇAMENTARIA'!J96</f>
        <v>2524</v>
      </c>
      <c r="F95" s="82"/>
      <c r="G95" s="35"/>
      <c r="H95" s="35"/>
      <c r="I95" s="104"/>
      <c r="J95" s="35"/>
      <c r="K95" s="104"/>
      <c r="L95" s="84"/>
    </row>
    <row r="96" spans="1:12" x14ac:dyDescent="0.25">
      <c r="A96" s="8" t="s">
        <v>258</v>
      </c>
      <c r="B96" s="113" t="str">
        <f>'PLANILHA ORÇAMENTARIA'!D97</f>
        <v>Ajudante de telhadista</v>
      </c>
      <c r="C96" s="35"/>
      <c r="D96" s="35"/>
      <c r="E96" s="35">
        <f>'PLANILHA ORÇAMENTARIA'!J97</f>
        <v>2048</v>
      </c>
      <c r="F96" s="82"/>
      <c r="G96" s="35"/>
      <c r="H96" s="35"/>
      <c r="I96" s="104"/>
      <c r="J96" s="35"/>
      <c r="K96" s="104"/>
      <c r="L96" s="84"/>
    </row>
    <row r="97" spans="1:12" x14ac:dyDescent="0.25">
      <c r="A97" s="8" t="s">
        <v>259</v>
      </c>
      <c r="B97" s="113" t="str">
        <f>'PLANILHA ORÇAMENTARIA'!D98</f>
        <v>Pedreiro</v>
      </c>
      <c r="C97" s="82">
        <v>13455.31</v>
      </c>
      <c r="D97" s="82">
        <v>13455.31</v>
      </c>
      <c r="E97" s="82">
        <v>13455.31</v>
      </c>
      <c r="F97" s="82">
        <v>13455.31</v>
      </c>
      <c r="G97" s="82">
        <v>13455.31</v>
      </c>
      <c r="H97" s="82">
        <v>13455.31</v>
      </c>
      <c r="I97" s="82">
        <f>13455.31+0.03</f>
        <v>13455.34</v>
      </c>
      <c r="J97" s="82"/>
      <c r="K97" s="102"/>
      <c r="L97" s="84"/>
    </row>
    <row r="98" spans="1:12" x14ac:dyDescent="0.25">
      <c r="A98" s="8" t="s">
        <v>260</v>
      </c>
      <c r="B98" s="113" t="str">
        <f>'PLANILHA ORÇAMENTARIA'!D99</f>
        <v>Servente</v>
      </c>
      <c r="C98" s="82">
        <v>17632.45</v>
      </c>
      <c r="D98" s="82">
        <f>C98</f>
        <v>17632.45</v>
      </c>
      <c r="E98" s="82">
        <f>D98</f>
        <v>17632.45</v>
      </c>
      <c r="F98" s="82">
        <f>E98</f>
        <v>17632.45</v>
      </c>
      <c r="G98" s="82">
        <f>F98</f>
        <v>17632.45</v>
      </c>
      <c r="H98" s="82">
        <f>G98</f>
        <v>17632.45</v>
      </c>
      <c r="I98" s="82">
        <f>H98+0.05</f>
        <v>17632.5</v>
      </c>
      <c r="J98" s="82"/>
      <c r="K98" s="102"/>
      <c r="L98" s="84"/>
    </row>
    <row r="99" spans="1:12" x14ac:dyDescent="0.25">
      <c r="A99" s="8" t="s">
        <v>266</v>
      </c>
      <c r="B99" s="113" t="str">
        <f>'PLANILHA ORÇAMENTARIA'!D100</f>
        <v>Pintor</v>
      </c>
      <c r="C99" s="82"/>
      <c r="D99" s="82"/>
      <c r="E99" s="82"/>
      <c r="F99" s="82"/>
      <c r="G99" s="82"/>
      <c r="H99" s="82"/>
      <c r="I99" s="102">
        <v>2920.53</v>
      </c>
      <c r="J99" s="82">
        <f>I99</f>
        <v>2920.53</v>
      </c>
      <c r="K99" s="82">
        <f>J99+0.01</f>
        <v>2920.5400000000004</v>
      </c>
      <c r="L99" s="84"/>
    </row>
    <row r="100" spans="1:12" ht="15.75" customHeight="1" x14ac:dyDescent="0.25">
      <c r="A100" s="8" t="s">
        <v>271</v>
      </c>
      <c r="B100" s="113" t="str">
        <f>'PLANILHA ORÇAMENTARIA'!D101</f>
        <v>Ajudante de pintor</v>
      </c>
      <c r="C100" s="82"/>
      <c r="D100" s="82"/>
      <c r="E100" s="82"/>
      <c r="F100" s="82"/>
      <c r="G100" s="82"/>
      <c r="H100" s="82"/>
      <c r="I100" s="102">
        <v>4401.0600000000004</v>
      </c>
      <c r="J100" s="82">
        <f>I100</f>
        <v>4401.0600000000004</v>
      </c>
      <c r="K100" s="82">
        <f>J100+0.02</f>
        <v>4401.0800000000008</v>
      </c>
      <c r="L100" s="84"/>
    </row>
    <row r="101" spans="1:12" x14ac:dyDescent="0.25">
      <c r="A101" s="222"/>
      <c r="B101" s="223"/>
      <c r="C101" s="223"/>
      <c r="D101" s="223"/>
      <c r="E101" s="223"/>
      <c r="F101" s="223"/>
      <c r="G101" s="223"/>
      <c r="H101" s="223"/>
      <c r="I101" s="223"/>
      <c r="J101" s="223"/>
      <c r="K101" s="223"/>
      <c r="L101" s="84"/>
    </row>
    <row r="102" spans="1:12" x14ac:dyDescent="0.25">
      <c r="A102" s="15"/>
      <c r="B102" s="36" t="s">
        <v>303</v>
      </c>
      <c r="C102" s="166">
        <f t="shared" ref="C102:K102" si="3">SUM(C8:C100)</f>
        <v>100388.31999999999</v>
      </c>
      <c r="D102" s="166">
        <f t="shared" si="3"/>
        <v>106367.3</v>
      </c>
      <c r="E102" s="166">
        <f t="shared" si="3"/>
        <v>120946.34999999999</v>
      </c>
      <c r="F102" s="166">
        <f t="shared" si="3"/>
        <v>154380.95000000001</v>
      </c>
      <c r="G102" s="166">
        <f t="shared" si="3"/>
        <v>79470.44</v>
      </c>
      <c r="H102" s="166">
        <f t="shared" si="3"/>
        <v>90376.73</v>
      </c>
      <c r="I102" s="166">
        <f t="shared" si="3"/>
        <v>108454.90999999999</v>
      </c>
      <c r="J102" s="166">
        <f t="shared" si="3"/>
        <v>96112.209999999992</v>
      </c>
      <c r="K102" s="166">
        <f t="shared" si="3"/>
        <v>92848.109999999986</v>
      </c>
      <c r="L102" s="84"/>
    </row>
    <row r="103" spans="1:12" x14ac:dyDescent="0.25">
      <c r="A103" s="222"/>
      <c r="B103" s="223"/>
      <c r="C103" s="223"/>
      <c r="D103" s="223"/>
      <c r="E103" s="223"/>
      <c r="F103" s="223"/>
      <c r="G103" s="223"/>
      <c r="H103" s="223"/>
      <c r="I103" s="223"/>
      <c r="J103" s="223"/>
      <c r="K103" s="223"/>
      <c r="L103" s="84"/>
    </row>
    <row r="104" spans="1:12" ht="15.75" x14ac:dyDescent="0.25">
      <c r="A104" s="71"/>
      <c r="B104" s="72" t="s">
        <v>54</v>
      </c>
      <c r="C104" s="221">
        <f>SUM(C102:K102)</f>
        <v>949345.32</v>
      </c>
      <c r="D104" s="221"/>
      <c r="E104" s="221"/>
      <c r="F104" s="221"/>
      <c r="G104" s="221"/>
      <c r="H104" s="221"/>
      <c r="I104" s="221"/>
      <c r="J104" s="221"/>
      <c r="K104" s="221"/>
      <c r="L104" s="84"/>
    </row>
    <row r="105" spans="1:12" x14ac:dyDescent="0.25">
      <c r="A105" s="219"/>
      <c r="B105" s="219"/>
      <c r="C105" s="220"/>
      <c r="D105" s="220"/>
      <c r="E105" s="220"/>
      <c r="F105" s="220"/>
      <c r="G105" s="220"/>
      <c r="H105" s="220"/>
      <c r="I105" s="216"/>
      <c r="J105" s="44"/>
      <c r="K105" s="44"/>
    </row>
  </sheetData>
  <mergeCells count="11">
    <mergeCell ref="A1:K1"/>
    <mergeCell ref="A2:K2"/>
    <mergeCell ref="A3:K3"/>
    <mergeCell ref="C4:K4"/>
    <mergeCell ref="A105:I105"/>
    <mergeCell ref="C104:K104"/>
    <mergeCell ref="A103:K103"/>
    <mergeCell ref="A101:K101"/>
    <mergeCell ref="A6:I6"/>
    <mergeCell ref="A4:A5"/>
    <mergeCell ref="B4:B5"/>
  </mergeCells>
  <phoneticPr fontId="10" type="noConversion"/>
  <pageMargins left="0.511811024" right="0.511811024" top="0.78740157499999996" bottom="0.78740157499999996" header="0.31496062000000002" footer="0.31496062000000002"/>
  <pageSetup paperSize="9" scale="81" fitToHeight="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7C7E24-8DF5-402F-B3DB-3BE3D7DA9DD5}">
  <dimension ref="A1:C27"/>
  <sheetViews>
    <sheetView zoomScaleNormal="100" workbookViewId="0">
      <selection activeCell="A26" sqref="A26:C26"/>
    </sheetView>
  </sheetViews>
  <sheetFormatPr defaultRowHeight="15" x14ac:dyDescent="0.25"/>
  <cols>
    <col min="1" max="1" width="27.7109375" customWidth="1"/>
    <col min="2" max="2" width="28" customWidth="1"/>
    <col min="3" max="3" width="24.7109375" customWidth="1"/>
    <col min="6" max="6" width="11" bestFit="1" customWidth="1"/>
  </cols>
  <sheetData>
    <row r="1" spans="1:3" ht="23.25" x14ac:dyDescent="0.25">
      <c r="A1" s="227"/>
      <c r="B1" s="228"/>
      <c r="C1" s="229"/>
    </row>
    <row r="2" spans="1:3" ht="18" x14ac:dyDescent="0.25">
      <c r="A2" s="232"/>
      <c r="B2" s="233"/>
      <c r="C2" s="234"/>
    </row>
    <row r="3" spans="1:3" x14ac:dyDescent="0.25">
      <c r="A3" s="231"/>
      <c r="B3" s="231"/>
      <c r="C3" s="231"/>
    </row>
    <row r="4" spans="1:3" x14ac:dyDescent="0.25">
      <c r="A4" s="7" t="s">
        <v>11</v>
      </c>
      <c r="B4" s="7" t="s">
        <v>3</v>
      </c>
      <c r="C4" s="8" t="s">
        <v>12</v>
      </c>
    </row>
    <row r="5" spans="1:3" x14ac:dyDescent="0.25">
      <c r="A5" s="231"/>
      <c r="B5" s="231"/>
      <c r="C5" s="231"/>
    </row>
    <row r="6" spans="1:3" x14ac:dyDescent="0.25">
      <c r="A6" s="9">
        <v>1</v>
      </c>
      <c r="B6" s="10" t="s">
        <v>13</v>
      </c>
      <c r="C6" s="11">
        <v>7</v>
      </c>
    </row>
    <row r="7" spans="1:3" x14ac:dyDescent="0.25">
      <c r="A7" s="231" t="s">
        <v>14</v>
      </c>
      <c r="B7" s="231" t="s">
        <v>14</v>
      </c>
      <c r="C7" s="231" t="s">
        <v>14</v>
      </c>
    </row>
    <row r="8" spans="1:3" x14ac:dyDescent="0.25">
      <c r="A8" s="9">
        <v>2</v>
      </c>
      <c r="B8" s="10" t="s">
        <v>15</v>
      </c>
      <c r="C8" s="11">
        <f>SUM(C9:C11)</f>
        <v>7.65</v>
      </c>
    </row>
    <row r="9" spans="1:3" x14ac:dyDescent="0.25">
      <c r="A9" s="8" t="s">
        <v>16</v>
      </c>
      <c r="B9" s="12" t="s">
        <v>17</v>
      </c>
      <c r="C9" s="13">
        <v>4</v>
      </c>
    </row>
    <row r="10" spans="1:3" x14ac:dyDescent="0.25">
      <c r="A10" s="8" t="s">
        <v>18</v>
      </c>
      <c r="B10" s="14" t="s">
        <v>19</v>
      </c>
      <c r="C10" s="13">
        <v>0.65</v>
      </c>
    </row>
    <row r="11" spans="1:3" x14ac:dyDescent="0.25">
      <c r="A11" s="8" t="s">
        <v>20</v>
      </c>
      <c r="B11" s="14" t="s">
        <v>21</v>
      </c>
      <c r="C11" s="13">
        <v>3</v>
      </c>
    </row>
    <row r="12" spans="1:3" x14ac:dyDescent="0.25">
      <c r="A12" s="231"/>
      <c r="B12" s="231"/>
      <c r="C12" s="231"/>
    </row>
    <row r="13" spans="1:3" x14ac:dyDescent="0.25">
      <c r="A13" s="9">
        <v>3</v>
      </c>
      <c r="B13" s="10" t="s">
        <v>22</v>
      </c>
      <c r="C13" s="11">
        <f>SUM(C14:C16)</f>
        <v>1.3199999999999998</v>
      </c>
    </row>
    <row r="14" spans="1:3" x14ac:dyDescent="0.25">
      <c r="A14" s="8" t="s">
        <v>23</v>
      </c>
      <c r="B14" s="14" t="s">
        <v>24</v>
      </c>
      <c r="C14" s="13">
        <v>0.36</v>
      </c>
    </row>
    <row r="15" spans="1:3" x14ac:dyDescent="0.25">
      <c r="A15" s="8" t="s">
        <v>25</v>
      </c>
      <c r="B15" s="14" t="s">
        <v>26</v>
      </c>
      <c r="C15" s="13">
        <v>0.75</v>
      </c>
    </row>
    <row r="16" spans="1:3" x14ac:dyDescent="0.25">
      <c r="A16" s="8" t="s">
        <v>25</v>
      </c>
      <c r="B16" s="14" t="s">
        <v>27</v>
      </c>
      <c r="C16" s="13">
        <v>0.21</v>
      </c>
    </row>
    <row r="17" spans="1:3" x14ac:dyDescent="0.25">
      <c r="A17" s="231"/>
      <c r="B17" s="231"/>
      <c r="C17" s="231"/>
    </row>
    <row r="18" spans="1:3" x14ac:dyDescent="0.25">
      <c r="A18" s="9">
        <v>4</v>
      </c>
      <c r="B18" s="10" t="s">
        <v>28</v>
      </c>
      <c r="C18" s="11">
        <v>1</v>
      </c>
    </row>
    <row r="19" spans="1:3" x14ac:dyDescent="0.25">
      <c r="A19" s="231"/>
      <c r="B19" s="231"/>
      <c r="C19" s="231"/>
    </row>
    <row r="20" spans="1:3" x14ac:dyDescent="0.25">
      <c r="A20" s="9">
        <v>5</v>
      </c>
      <c r="B20" s="10" t="s">
        <v>29</v>
      </c>
      <c r="C20" s="11">
        <v>8.25</v>
      </c>
    </row>
    <row r="21" spans="1:3" x14ac:dyDescent="0.25">
      <c r="A21" s="231"/>
      <c r="B21" s="231"/>
      <c r="C21" s="231"/>
    </row>
    <row r="22" spans="1:3" x14ac:dyDescent="0.25">
      <c r="A22" s="15">
        <v>6</v>
      </c>
      <c r="B22" s="10" t="s">
        <v>30</v>
      </c>
      <c r="C22" s="11">
        <f>ROUND((((1+(C6%+C15%+C14%+C16%))*(1+C18%)*(1+C20%)/(1-C8%))-(1))*100,2)</f>
        <v>28.24</v>
      </c>
    </row>
    <row r="23" spans="1:3" x14ac:dyDescent="0.25">
      <c r="A23" s="231"/>
      <c r="B23" s="231"/>
      <c r="C23" s="231"/>
    </row>
    <row r="24" spans="1:3" x14ac:dyDescent="0.25">
      <c r="A24" s="230" t="s">
        <v>31</v>
      </c>
      <c r="B24" s="230"/>
      <c r="C24" s="230"/>
    </row>
    <row r="25" spans="1:3" x14ac:dyDescent="0.25">
      <c r="A25" s="231"/>
      <c r="B25" s="231"/>
      <c r="C25" s="231"/>
    </row>
    <row r="26" spans="1:3" x14ac:dyDescent="0.25">
      <c r="A26" s="230" t="s">
        <v>313</v>
      </c>
      <c r="B26" s="230"/>
      <c r="C26" s="230"/>
    </row>
    <row r="27" spans="1:3" x14ac:dyDescent="0.25">
      <c r="A27" s="231"/>
      <c r="B27" s="231"/>
      <c r="C27" s="231"/>
    </row>
  </sheetData>
  <mergeCells count="14">
    <mergeCell ref="A1:C1"/>
    <mergeCell ref="A26:C26"/>
    <mergeCell ref="A27:C27"/>
    <mergeCell ref="A17:C17"/>
    <mergeCell ref="A19:C19"/>
    <mergeCell ref="A21:C21"/>
    <mergeCell ref="A23:C23"/>
    <mergeCell ref="A24:C24"/>
    <mergeCell ref="A25:C25"/>
    <mergeCell ref="A12:C12"/>
    <mergeCell ref="A2:C2"/>
    <mergeCell ref="A3:C3"/>
    <mergeCell ref="A5:C5"/>
    <mergeCell ref="A7:C7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F1D5E3-C773-4CA8-BE0A-5EEE03721CD8}">
  <dimension ref="A1:C46"/>
  <sheetViews>
    <sheetView tabSelected="1" workbookViewId="0">
      <selection activeCell="A45" sqref="A45:C45"/>
    </sheetView>
  </sheetViews>
  <sheetFormatPr defaultRowHeight="15" x14ac:dyDescent="0.25"/>
  <cols>
    <col min="2" max="2" width="39.140625" bestFit="1" customWidth="1"/>
    <col min="3" max="3" width="26.7109375" customWidth="1"/>
  </cols>
  <sheetData>
    <row r="1" spans="1:3" x14ac:dyDescent="0.25">
      <c r="A1" s="7" t="s">
        <v>11</v>
      </c>
      <c r="B1" s="7" t="s">
        <v>3</v>
      </c>
      <c r="C1" s="8" t="s">
        <v>67</v>
      </c>
    </row>
    <row r="2" spans="1:3" x14ac:dyDescent="0.25">
      <c r="A2" s="231"/>
      <c r="B2" s="231"/>
      <c r="C2" s="231"/>
    </row>
    <row r="3" spans="1:3" x14ac:dyDescent="0.25">
      <c r="A3" s="75">
        <v>1</v>
      </c>
      <c r="B3" s="79" t="s">
        <v>68</v>
      </c>
      <c r="C3" s="80"/>
    </row>
    <row r="4" spans="1:3" x14ac:dyDescent="0.25">
      <c r="A4" s="9" t="s">
        <v>33</v>
      </c>
      <c r="B4" s="12" t="s">
        <v>69</v>
      </c>
      <c r="C4" s="11">
        <v>20</v>
      </c>
    </row>
    <row r="5" spans="1:3" x14ac:dyDescent="0.25">
      <c r="A5" s="9" t="s">
        <v>34</v>
      </c>
      <c r="B5" s="12" t="s">
        <v>70</v>
      </c>
      <c r="C5" s="11">
        <v>1.5</v>
      </c>
    </row>
    <row r="6" spans="1:3" x14ac:dyDescent="0.25">
      <c r="A6" s="9" t="s">
        <v>36</v>
      </c>
      <c r="B6" s="12" t="s">
        <v>71</v>
      </c>
      <c r="C6" s="11">
        <v>1</v>
      </c>
    </row>
    <row r="7" spans="1:3" x14ac:dyDescent="0.25">
      <c r="A7" s="9" t="s">
        <v>42</v>
      </c>
      <c r="B7" s="12" t="s">
        <v>72</v>
      </c>
      <c r="C7" s="11">
        <v>0.2</v>
      </c>
    </row>
    <row r="8" spans="1:3" x14ac:dyDescent="0.25">
      <c r="A8" s="9" t="s">
        <v>37</v>
      </c>
      <c r="B8" s="12" t="s">
        <v>73</v>
      </c>
      <c r="C8" s="11">
        <v>0.6</v>
      </c>
    </row>
    <row r="9" spans="1:3" x14ac:dyDescent="0.25">
      <c r="A9" s="9" t="s">
        <v>39</v>
      </c>
      <c r="B9" s="12" t="s">
        <v>74</v>
      </c>
      <c r="C9" s="11">
        <v>2.5</v>
      </c>
    </row>
    <row r="10" spans="1:3" x14ac:dyDescent="0.25">
      <c r="A10" s="9" t="s">
        <v>40</v>
      </c>
      <c r="B10" s="12" t="s">
        <v>75</v>
      </c>
      <c r="C10" s="11">
        <v>3</v>
      </c>
    </row>
    <row r="11" spans="1:3" x14ac:dyDescent="0.25">
      <c r="A11" s="9" t="s">
        <v>41</v>
      </c>
      <c r="B11" s="12" t="s">
        <v>76</v>
      </c>
      <c r="C11" s="11">
        <v>8</v>
      </c>
    </row>
    <row r="12" spans="1:3" x14ac:dyDescent="0.25">
      <c r="A12" s="9" t="s">
        <v>44</v>
      </c>
      <c r="B12" s="12" t="s">
        <v>77</v>
      </c>
      <c r="C12" s="11">
        <v>1.2</v>
      </c>
    </row>
    <row r="13" spans="1:3" x14ac:dyDescent="0.25">
      <c r="A13" s="75"/>
      <c r="B13" s="76" t="s">
        <v>78</v>
      </c>
      <c r="C13" s="78">
        <f>SUM(C4:C12)</f>
        <v>38</v>
      </c>
    </row>
    <row r="14" spans="1:3" x14ac:dyDescent="0.25">
      <c r="A14" s="235"/>
      <c r="B14" s="236"/>
      <c r="C14" s="237"/>
    </row>
    <row r="15" spans="1:3" x14ac:dyDescent="0.25">
      <c r="A15" s="75">
        <v>2</v>
      </c>
      <c r="B15" s="79" t="s">
        <v>79</v>
      </c>
      <c r="C15" s="80"/>
    </row>
    <row r="16" spans="1:3" x14ac:dyDescent="0.25">
      <c r="A16" s="15" t="s">
        <v>16</v>
      </c>
      <c r="B16" s="12" t="s">
        <v>80</v>
      </c>
      <c r="C16" s="11" t="s">
        <v>311</v>
      </c>
    </row>
    <row r="17" spans="1:3" x14ac:dyDescent="0.25">
      <c r="A17" s="15" t="s">
        <v>18</v>
      </c>
      <c r="B17" s="14" t="s">
        <v>81</v>
      </c>
      <c r="C17" s="11" t="s">
        <v>311</v>
      </c>
    </row>
    <row r="18" spans="1:3" x14ac:dyDescent="0.25">
      <c r="A18" s="15" t="s">
        <v>20</v>
      </c>
      <c r="B18" s="14" t="s">
        <v>82</v>
      </c>
      <c r="C18" s="11">
        <v>0.66</v>
      </c>
    </row>
    <row r="19" spans="1:3" x14ac:dyDescent="0.25">
      <c r="A19" s="15" t="s">
        <v>51</v>
      </c>
      <c r="B19" s="14" t="s">
        <v>83</v>
      </c>
      <c r="C19" s="11">
        <v>8.33</v>
      </c>
    </row>
    <row r="20" spans="1:3" x14ac:dyDescent="0.25">
      <c r="A20" s="15" t="s">
        <v>52</v>
      </c>
      <c r="B20" s="14" t="s">
        <v>84</v>
      </c>
      <c r="C20" s="11">
        <v>0.06</v>
      </c>
    </row>
    <row r="21" spans="1:3" x14ac:dyDescent="0.25">
      <c r="A21" s="15" t="s">
        <v>85</v>
      </c>
      <c r="B21" s="14" t="s">
        <v>86</v>
      </c>
      <c r="C21" s="11">
        <v>0.56000000000000005</v>
      </c>
    </row>
    <row r="22" spans="1:3" x14ac:dyDescent="0.25">
      <c r="A22" s="15" t="s">
        <v>87</v>
      </c>
      <c r="B22" s="14" t="s">
        <v>88</v>
      </c>
      <c r="C22" s="11" t="s">
        <v>311</v>
      </c>
    </row>
    <row r="23" spans="1:3" x14ac:dyDescent="0.25">
      <c r="A23" s="15" t="s">
        <v>89</v>
      </c>
      <c r="B23" s="14" t="s">
        <v>90</v>
      </c>
      <c r="C23" s="11">
        <v>0.08</v>
      </c>
    </row>
    <row r="24" spans="1:3" x14ac:dyDescent="0.25">
      <c r="A24" s="15" t="s">
        <v>91</v>
      </c>
      <c r="B24" s="14" t="s">
        <v>92</v>
      </c>
      <c r="C24" s="11">
        <v>8.83</v>
      </c>
    </row>
    <row r="25" spans="1:3" x14ac:dyDescent="0.25">
      <c r="A25" s="15" t="s">
        <v>93</v>
      </c>
      <c r="B25" s="14" t="s">
        <v>94</v>
      </c>
      <c r="C25" s="11">
        <v>0.02</v>
      </c>
    </row>
    <row r="26" spans="1:3" x14ac:dyDescent="0.25">
      <c r="A26" s="75"/>
      <c r="B26" s="76" t="s">
        <v>95</v>
      </c>
      <c r="C26" s="77">
        <f>SUM(C16:C25)</f>
        <v>18.540000000000003</v>
      </c>
    </row>
    <row r="27" spans="1:3" x14ac:dyDescent="0.25">
      <c r="A27" s="222"/>
      <c r="B27" s="223"/>
      <c r="C27" s="238"/>
    </row>
    <row r="28" spans="1:3" x14ac:dyDescent="0.25">
      <c r="A28" s="75">
        <v>3</v>
      </c>
      <c r="B28" s="79" t="s">
        <v>96</v>
      </c>
      <c r="C28" s="80"/>
    </row>
    <row r="29" spans="1:3" x14ac:dyDescent="0.25">
      <c r="A29" s="15" t="s">
        <v>23</v>
      </c>
      <c r="B29" s="14" t="s">
        <v>97</v>
      </c>
      <c r="C29" s="73">
        <v>4.5</v>
      </c>
    </row>
    <row r="30" spans="1:3" x14ac:dyDescent="0.25">
      <c r="A30" s="15" t="s">
        <v>25</v>
      </c>
      <c r="B30" s="14" t="s">
        <v>98</v>
      </c>
      <c r="C30" s="73">
        <v>0.11</v>
      </c>
    </row>
    <row r="31" spans="1:3" x14ac:dyDescent="0.25">
      <c r="A31" s="15" t="s">
        <v>53</v>
      </c>
      <c r="B31" s="14" t="s">
        <v>99</v>
      </c>
      <c r="C31" s="73">
        <v>1.78</v>
      </c>
    </row>
    <row r="32" spans="1:3" x14ac:dyDescent="0.25">
      <c r="A32" s="15" t="s">
        <v>100</v>
      </c>
      <c r="B32" s="14" t="s">
        <v>101</v>
      </c>
      <c r="C32" s="73">
        <v>2.4700000000000002</v>
      </c>
    </row>
    <row r="33" spans="1:3" x14ac:dyDescent="0.25">
      <c r="A33" s="15" t="s">
        <v>102</v>
      </c>
      <c r="B33" s="14" t="s">
        <v>103</v>
      </c>
      <c r="C33" s="73">
        <v>0.38</v>
      </c>
    </row>
    <row r="34" spans="1:3" x14ac:dyDescent="0.25">
      <c r="A34" s="75"/>
      <c r="B34" s="76" t="s">
        <v>104</v>
      </c>
      <c r="C34" s="77">
        <f>SUM(C29:C33)</f>
        <v>9.240000000000002</v>
      </c>
    </row>
    <row r="35" spans="1:3" x14ac:dyDescent="0.25">
      <c r="A35" s="231"/>
      <c r="B35" s="231"/>
      <c r="C35" s="231"/>
    </row>
    <row r="36" spans="1:3" x14ac:dyDescent="0.25">
      <c r="A36" s="75">
        <v>4</v>
      </c>
      <c r="B36" s="79" t="s">
        <v>105</v>
      </c>
      <c r="C36" s="80"/>
    </row>
    <row r="37" spans="1:3" x14ac:dyDescent="0.25">
      <c r="A37" s="9" t="s">
        <v>45</v>
      </c>
      <c r="B37" s="14" t="s">
        <v>106</v>
      </c>
      <c r="C37" s="11">
        <v>7.05</v>
      </c>
    </row>
    <row r="38" spans="1:3" ht="71.25" x14ac:dyDescent="0.25">
      <c r="A38" s="9" t="s">
        <v>46</v>
      </c>
      <c r="B38" s="74" t="s">
        <v>107</v>
      </c>
      <c r="C38" s="11">
        <v>0.4</v>
      </c>
    </row>
    <row r="39" spans="1:3" x14ac:dyDescent="0.25">
      <c r="A39" s="75"/>
      <c r="B39" s="76" t="s">
        <v>104</v>
      </c>
      <c r="C39" s="77">
        <f>SUM(C37:C38)</f>
        <v>7.45</v>
      </c>
    </row>
    <row r="40" spans="1:3" x14ac:dyDescent="0.25">
      <c r="A40" s="231"/>
      <c r="B40" s="231"/>
      <c r="C40" s="231"/>
    </row>
    <row r="41" spans="1:3" x14ac:dyDescent="0.25">
      <c r="A41" s="15">
        <v>5</v>
      </c>
      <c r="B41" s="10" t="s">
        <v>108</v>
      </c>
      <c r="C41" s="11">
        <f>SUM(C13,C26,C34,C39)</f>
        <v>73.23</v>
      </c>
    </row>
    <row r="42" spans="1:3" x14ac:dyDescent="0.25">
      <c r="A42" s="231"/>
      <c r="B42" s="231"/>
      <c r="C42" s="231"/>
    </row>
    <row r="43" spans="1:3" x14ac:dyDescent="0.25">
      <c r="A43" s="230" t="s">
        <v>310</v>
      </c>
      <c r="B43" s="230"/>
      <c r="C43" s="230"/>
    </row>
    <row r="44" spans="1:3" x14ac:dyDescent="0.25">
      <c r="A44" s="231"/>
      <c r="B44" s="231"/>
      <c r="C44" s="231"/>
    </row>
    <row r="45" spans="1:3" x14ac:dyDescent="0.25">
      <c r="A45" s="230" t="s">
        <v>309</v>
      </c>
      <c r="B45" s="230"/>
      <c r="C45" s="230"/>
    </row>
    <row r="46" spans="1:3" x14ac:dyDescent="0.25">
      <c r="A46" s="231"/>
      <c r="B46" s="231"/>
      <c r="C46" s="231"/>
    </row>
  </sheetData>
  <mergeCells count="10">
    <mergeCell ref="A2:C2"/>
    <mergeCell ref="A14:C14"/>
    <mergeCell ref="A45:C45"/>
    <mergeCell ref="A46:C46"/>
    <mergeCell ref="A27:C27"/>
    <mergeCell ref="A35:C35"/>
    <mergeCell ref="A40:C40"/>
    <mergeCell ref="A42:C42"/>
    <mergeCell ref="A43:C43"/>
    <mergeCell ref="A44:C4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PLANILHA ORÇAMENTARIA</vt:lpstr>
      <vt:lpstr>CRONOGRAMA FISICO FINANCEIRO</vt:lpstr>
      <vt:lpstr>COMPOSIÇAO DO BDI</vt:lpstr>
      <vt:lpstr>ENCARGOS SOCIAIS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Fernanda</cp:lastModifiedBy>
  <cp:lastPrinted>2023-03-20T14:00:07Z</cp:lastPrinted>
  <dcterms:created xsi:type="dcterms:W3CDTF">2021-02-24T12:01:19Z</dcterms:created>
  <dcterms:modified xsi:type="dcterms:W3CDTF">2023-06-26T18:18:17Z</dcterms:modified>
</cp:coreProperties>
</file>